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emovable Disk\JB_Flash_Drive\Jeff\ELL_2025\PA_Dist_27\All-Stars\Schedules\Special Games\"/>
    </mc:Choice>
  </mc:AlternateContent>
  <xr:revisionPtr revIDLastSave="0" documentId="13_ncr:1_{CE204212-B21B-47D2-A249-ED87E51BAC2E}" xr6:coauthVersionLast="47" xr6:coauthVersionMax="47" xr10:uidLastSave="{00000000-0000-0000-0000-000000000000}"/>
  <bookViews>
    <workbookView xWindow="47880" yWindow="-120" windowWidth="29040" windowHeight="15720" activeTab="1" xr2:uid="{961A3450-B734-4A1E-A0D8-A94197BC3646}"/>
  </bookViews>
  <sheets>
    <sheet name="SCHEDULE" sheetId="1" r:id="rId1"/>
    <sheet name="BRACKET" sheetId="2" r:id="rId2"/>
    <sheet name="D27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7" i="1" l="1"/>
  <c r="Y7" i="1"/>
  <c r="Z6" i="1"/>
  <c r="Y6" i="1"/>
  <c r="Z5" i="1"/>
  <c r="Y5" i="1"/>
  <c r="Z4" i="1"/>
  <c r="Y4" i="1"/>
  <c r="Z3" i="1"/>
  <c r="Y3" i="1"/>
  <c r="Z2" i="1"/>
  <c r="Y2" i="1"/>
  <c r="B13" i="2"/>
  <c r="A12" i="2"/>
  <c r="C7" i="2"/>
  <c r="A7" i="2"/>
  <c r="B6" i="2"/>
  <c r="M6" i="3" l="1"/>
  <c r="L6" i="3"/>
  <c r="K6" i="3"/>
  <c r="I6" i="3"/>
  <c r="H6" i="3"/>
  <c r="E6" i="3"/>
  <c r="D6" i="3"/>
  <c r="C6" i="3"/>
  <c r="M5" i="3"/>
  <c r="L5" i="3"/>
  <c r="K5" i="3"/>
  <c r="I5" i="3"/>
  <c r="H5" i="3"/>
  <c r="E5" i="3"/>
  <c r="D5" i="3"/>
  <c r="C5" i="3"/>
  <c r="M4" i="3"/>
  <c r="L4" i="3"/>
  <c r="K4" i="3"/>
  <c r="I4" i="3"/>
  <c r="H4" i="3"/>
  <c r="E4" i="3"/>
  <c r="D4" i="3"/>
  <c r="C4" i="3"/>
  <c r="M3" i="3"/>
  <c r="L3" i="3"/>
  <c r="K3" i="3"/>
  <c r="I3" i="3"/>
  <c r="H3" i="3"/>
  <c r="E3" i="3"/>
  <c r="D3" i="3"/>
  <c r="C3" i="3"/>
  <c r="M2" i="3"/>
  <c r="L2" i="3"/>
  <c r="K2" i="3"/>
  <c r="I2" i="3"/>
  <c r="H2" i="3"/>
  <c r="E2" i="3"/>
  <c r="D2" i="3"/>
  <c r="M1" i="3"/>
  <c r="L1" i="3"/>
  <c r="G1" i="3"/>
  <c r="E1" i="3"/>
  <c r="D1" i="3"/>
  <c r="C1" i="3"/>
  <c r="A1" i="3"/>
  <c r="C2" i="3"/>
  <c r="M17" i="3"/>
  <c r="P16" i="3"/>
  <c r="O16" i="3"/>
  <c r="N16" i="3"/>
  <c r="L16" i="3"/>
  <c r="K16" i="3"/>
  <c r="P15" i="3"/>
  <c r="O15" i="3"/>
  <c r="N15" i="3"/>
  <c r="L15" i="3"/>
  <c r="K15" i="3"/>
  <c r="P14" i="3"/>
  <c r="O14" i="3"/>
  <c r="N14" i="3"/>
  <c r="L14" i="3"/>
  <c r="K14" i="3"/>
  <c r="P13" i="3"/>
  <c r="O13" i="3"/>
  <c r="N13" i="3"/>
  <c r="L13" i="3"/>
  <c r="K13" i="3"/>
  <c r="P12" i="3"/>
  <c r="O12" i="3"/>
  <c r="N12" i="3"/>
  <c r="L12" i="3"/>
  <c r="K12" i="3"/>
  <c r="B12" i="3"/>
  <c r="B13" i="3" s="1"/>
  <c r="P11" i="3"/>
  <c r="O11" i="3"/>
  <c r="N11" i="3"/>
  <c r="L11" i="3"/>
  <c r="K11" i="3"/>
  <c r="P10" i="3"/>
  <c r="O10" i="3"/>
  <c r="N10" i="3"/>
  <c r="L10" i="3"/>
  <c r="A6" i="3"/>
  <c r="A5" i="3"/>
  <c r="A4" i="3"/>
  <c r="A3" i="3"/>
  <c r="A2" i="3"/>
  <c r="AA9" i="1"/>
  <c r="AA8" i="1"/>
  <c r="P8" i="1"/>
  <c r="B8" i="1"/>
  <c r="P6" i="1"/>
  <c r="B6" i="1"/>
  <c r="P5" i="1"/>
  <c r="B5" i="1"/>
  <c r="U2" i="1"/>
  <c r="I2" i="1" s="1"/>
  <c r="W3" i="1"/>
  <c r="P3" i="1"/>
  <c r="B3" i="1"/>
  <c r="AA2" i="1"/>
  <c r="R2" i="1"/>
  <c r="F2" i="1" s="1"/>
  <c r="P2" i="1"/>
  <c r="B2" i="1"/>
  <c r="F6" i="1" a="1"/>
  <c r="I5" i="1" a="1"/>
  <c r="A6" i="2" l="1"/>
  <c r="A9" i="2"/>
  <c r="G2" i="3"/>
  <c r="J2" i="3"/>
  <c r="I5" i="1"/>
  <c r="F6" i="1"/>
  <c r="W4" i="1"/>
  <c r="AA3" i="1"/>
  <c r="I8" i="1" a="1"/>
  <c r="F8" i="1" a="1"/>
  <c r="I8" i="1" l="1"/>
  <c r="C14" i="2" s="1"/>
  <c r="F8" i="1"/>
  <c r="J4" i="3"/>
  <c r="B8" i="2"/>
  <c r="G5" i="3"/>
  <c r="B12" i="2"/>
  <c r="G6" i="3"/>
  <c r="C6" i="2"/>
  <c r="J6" i="3"/>
  <c r="AA4" i="1"/>
  <c r="R3" i="1"/>
  <c r="F3" i="1" s="1"/>
  <c r="W5" i="1"/>
  <c r="F10" i="1" a="1"/>
  <c r="F10" i="1" l="1"/>
  <c r="D10" i="2" s="1"/>
  <c r="A11" i="2"/>
  <c r="G3" i="3"/>
  <c r="AA5" i="1"/>
  <c r="W6" i="1"/>
  <c r="U3" i="1"/>
  <c r="I3" i="1" s="1"/>
  <c r="A14" i="2" l="1"/>
  <c r="J3" i="3"/>
  <c r="W7" i="1"/>
  <c r="AA6" i="1"/>
  <c r="R5" i="1"/>
  <c r="F5" i="1" s="1"/>
  <c r="B5" i="2" l="1"/>
  <c r="G4" i="3"/>
  <c r="AA7" i="1"/>
  <c r="AA10" i="1" s="1"/>
  <c r="U6" i="1"/>
  <c r="I6" i="1" s="1"/>
  <c r="B15" i="2" l="1"/>
  <c r="J5" i="3"/>
  <c r="D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<sst xmlns="http://schemas.openxmlformats.org/spreadsheetml/2006/main" count="103" uniqueCount="73">
  <si>
    <t>G #</t>
  </si>
  <si>
    <t>Day</t>
  </si>
  <si>
    <t>Date</t>
  </si>
  <si>
    <t>Time</t>
  </si>
  <si>
    <t>Teams &amp; Scores</t>
  </si>
  <si>
    <t>Host/Park/Field</t>
  </si>
  <si>
    <t>Umpire(s)</t>
  </si>
  <si>
    <t>Umpire (bases)</t>
  </si>
  <si>
    <t>SUM</t>
  </si>
  <si>
    <t>Teams</t>
  </si>
  <si>
    <t>#</t>
  </si>
  <si>
    <t>Team</t>
  </si>
  <si>
    <t>GC Name</t>
  </si>
  <si>
    <t>Park</t>
  </si>
  <si>
    <t>Host</t>
  </si>
  <si>
    <t>vs</t>
  </si>
  <si>
    <t>EX-Ship Park</t>
  </si>
  <si>
    <t>Local Umpires</t>
  </si>
  <si>
    <t>PGP-Novak Park</t>
  </si>
  <si>
    <t>WG-1</t>
  </si>
  <si>
    <t>WG-2</t>
  </si>
  <si>
    <t>LP-Palmer Park</t>
  </si>
  <si>
    <t>Assigned by 
D27 Gary Hall</t>
  </si>
  <si>
    <t>WG-3</t>
  </si>
  <si>
    <t>WG-4</t>
  </si>
  <si>
    <t>Champion</t>
  </si>
  <si>
    <t>Total</t>
  </si>
  <si>
    <t>* Local Umpires = Umpires hired and securied by the Host League</t>
  </si>
  <si>
    <t>D27 Special Games</t>
  </si>
  <si>
    <t>BB-Bob Jones</t>
  </si>
  <si>
    <t>11/12 YO Baseball</t>
  </si>
  <si>
    <t>G#</t>
  </si>
  <si>
    <t>Division</t>
  </si>
  <si>
    <t>Level</t>
  </si>
  <si>
    <t>Tournament</t>
  </si>
  <si>
    <t>Championship</t>
  </si>
  <si>
    <t>D27 DA</t>
  </si>
  <si>
    <t>Baseball</t>
  </si>
  <si>
    <t>BB-BobJones</t>
  </si>
  <si>
    <t>Manager</t>
  </si>
  <si>
    <t>Email Address</t>
  </si>
  <si>
    <t>Cell Phone</t>
  </si>
  <si>
    <t>ABBV</t>
  </si>
  <si>
    <t>Points</t>
  </si>
  <si>
    <t>Order</t>
  </si>
  <si>
    <t>Chester Valley</t>
  </si>
  <si>
    <t>Manager 01</t>
  </si>
  <si>
    <t>CV</t>
  </si>
  <si>
    <t>CV-Monument Park</t>
  </si>
  <si>
    <t>GVE</t>
  </si>
  <si>
    <t>Manager 02</t>
  </si>
  <si>
    <t>Lower Perk 1</t>
  </si>
  <si>
    <t>Manager 03</t>
  </si>
  <si>
    <t>LP1</t>
  </si>
  <si>
    <t>Lower Perk 2</t>
  </si>
  <si>
    <t>Manager 04</t>
  </si>
  <si>
    <t>LP2</t>
  </si>
  <si>
    <t>Pottsgrove-Pottstown 1</t>
  </si>
  <si>
    <t>Manager 05</t>
  </si>
  <si>
    <t>PG1</t>
  </si>
  <si>
    <t>Pottsgrove-Pottstown 2</t>
  </si>
  <si>
    <t>Manager 06</t>
  </si>
  <si>
    <t>PGP2</t>
  </si>
  <si>
    <t>-D27-BB-BJ</t>
  </si>
  <si>
    <t>GC Abbrev</t>
  </si>
  <si>
    <t>BB-BobJones-</t>
  </si>
  <si>
    <t>Game Abbrev</t>
  </si>
  <si>
    <t>CV-Athletics</t>
  </si>
  <si>
    <t>GVE-Hooks</t>
  </si>
  <si>
    <t>LP1-Padres</t>
  </si>
  <si>
    <t>LP2-Marlins</t>
  </si>
  <si>
    <t>PGP1-Marlins</t>
  </si>
  <si>
    <t>PGP2-Expos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</si>
</sst>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"/>
    <numFmt numFmtId="165" formatCode="mmm\-dd\-yyyy"/>
    <numFmt numFmtId="166" formatCode="mm/dd/yy"/>
    <numFmt numFmtId="167" formatCode="dd\-mmm\-yy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Calibri"/>
      <family val="2"/>
    </font>
    <font>
      <sz val="18"/>
      <name val="Calibri"/>
      <family val="2"/>
    </font>
    <font>
      <sz val="9"/>
      <color theme="1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8"/>
      <name val="Arial"/>
      <family val="2"/>
    </font>
    <font>
      <b/>
      <u/>
      <sz val="1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4999237037263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1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1" xfId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>
      <alignment horizontal="center" vertical="center"/>
    </xf>
    <xf numFmtId="165" fontId="4" fillId="3" borderId="1" xfId="1" applyNumberFormat="1" applyFont="1" applyFill="1" applyBorder="1" applyAlignment="1">
      <alignment horizontal="center" vertical="center"/>
    </xf>
    <xf numFmtId="18" fontId="4" fillId="3" borderId="1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4" fillId="4" borderId="1" xfId="1" applyFont="1" applyFill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1" fontId="4" fillId="0" borderId="0" xfId="1" applyNumberFormat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4" fillId="5" borderId="1" xfId="1" applyFont="1" applyFill="1" applyBorder="1" applyAlignment="1">
      <alignment vertical="center"/>
    </xf>
    <xf numFmtId="0" fontId="4" fillId="5" borderId="1" xfId="1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left" vertical="center"/>
    </xf>
    <xf numFmtId="0" fontId="5" fillId="0" borderId="1" xfId="1" applyFont="1" applyBorder="1" applyAlignment="1">
      <alignment vertical="center"/>
    </xf>
    <xf numFmtId="0" fontId="4" fillId="3" borderId="1" xfId="1" applyFont="1" applyFill="1" applyBorder="1" applyAlignment="1">
      <alignment vertical="center"/>
    </xf>
    <xf numFmtId="0" fontId="4" fillId="3" borderId="1" xfId="1" applyFont="1" applyFill="1" applyBorder="1" applyAlignment="1">
      <alignment horizontal="right" vertical="center"/>
    </xf>
    <xf numFmtId="164" fontId="4" fillId="6" borderId="1" xfId="1" applyNumberFormat="1" applyFont="1" applyFill="1" applyBorder="1" applyAlignment="1">
      <alignment horizontal="center" vertical="center"/>
    </xf>
    <xf numFmtId="165" fontId="4" fillId="6" borderId="1" xfId="1" applyNumberFormat="1" applyFont="1" applyFill="1" applyBorder="1" applyAlignment="1">
      <alignment horizontal="center" vertical="center"/>
    </xf>
    <xf numFmtId="18" fontId="4" fillId="6" borderId="1" xfId="1" applyNumberFormat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/>
    </xf>
    <xf numFmtId="18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166" fontId="4" fillId="0" borderId="0" xfId="1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7" fontId="4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0" fontId="12" fillId="2" borderId="1" xfId="1" applyFont="1" applyFill="1" applyBorder="1" applyAlignment="1">
      <alignment horizontal="center" vertical="center"/>
    </xf>
    <xf numFmtId="0" fontId="12" fillId="2" borderId="2" xfId="1" applyFont="1" applyFill="1" applyBorder="1" applyAlignment="1">
      <alignment horizontal="center" vertical="center"/>
    </xf>
    <xf numFmtId="0" fontId="13" fillId="0" borderId="0" xfId="0" applyFont="1"/>
    <xf numFmtId="0" fontId="13" fillId="3" borderId="1" xfId="1" applyFont="1" applyFill="1" applyBorder="1" applyAlignment="1">
      <alignment horizontal="center" vertical="center"/>
    </xf>
    <xf numFmtId="164" fontId="13" fillId="3" borderId="1" xfId="1" applyNumberFormat="1" applyFont="1" applyFill="1" applyBorder="1" applyAlignment="1">
      <alignment horizontal="center" vertical="center"/>
    </xf>
    <xf numFmtId="165" fontId="13" fillId="3" borderId="1" xfId="1" applyNumberFormat="1" applyFont="1" applyFill="1" applyBorder="1" applyAlignment="1">
      <alignment horizontal="center" vertical="center"/>
    </xf>
    <xf numFmtId="18" fontId="13" fillId="3" borderId="1" xfId="1" applyNumberFormat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vertical="center"/>
    </xf>
    <xf numFmtId="0" fontId="13" fillId="0" borderId="1" xfId="1" applyFont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13" fillId="3" borderId="1" xfId="1" applyFont="1" applyFill="1" applyBorder="1" applyAlignment="1">
      <alignment vertical="center"/>
    </xf>
    <xf numFmtId="164" fontId="13" fillId="6" borderId="1" xfId="1" applyNumberFormat="1" applyFont="1" applyFill="1" applyBorder="1" applyAlignment="1">
      <alignment horizontal="center" vertical="center"/>
    </xf>
    <xf numFmtId="165" fontId="13" fillId="6" borderId="1" xfId="1" applyNumberFormat="1" applyFont="1" applyFill="1" applyBorder="1" applyAlignment="1">
      <alignment horizontal="center" vertical="center"/>
    </xf>
    <xf numFmtId="18" fontId="13" fillId="6" borderId="1" xfId="1" applyNumberFormat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left" vertical="center"/>
    </xf>
    <xf numFmtId="0" fontId="13" fillId="8" borderId="1" xfId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8" borderId="1" xfId="1" applyFont="1" applyFill="1" applyBorder="1" applyAlignment="1">
      <alignment vertical="center"/>
    </xf>
    <xf numFmtId="0" fontId="13" fillId="3" borderId="1" xfId="1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1" xfId="1" quotePrefix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167" fontId="13" fillId="0" borderId="0" xfId="1" applyNumberFormat="1" applyFont="1" applyAlignment="1">
      <alignment horizontal="center" vertical="center"/>
    </xf>
    <xf numFmtId="0" fontId="13" fillId="9" borderId="1" xfId="1" applyFont="1" applyFill="1" applyBorder="1" applyAlignment="1">
      <alignment horizontal="left" vertical="center"/>
    </xf>
    <xf numFmtId="0" fontId="13" fillId="9" borderId="1" xfId="0" applyFont="1" applyFill="1" applyBorder="1" applyAlignment="1">
      <alignment horizontal="left" vertical="center"/>
    </xf>
    <xf numFmtId="0" fontId="13" fillId="9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16" fontId="6" fillId="10" borderId="1" xfId="0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7" fillId="10" borderId="5" xfId="0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center" vertical="center"/>
    </xf>
    <xf numFmtId="0" fontId="9" fillId="0" borderId="7" xfId="1" quotePrefix="1" applyFont="1" applyBorder="1" applyAlignment="1">
      <alignment horizontal="right" vertical="center" wrapText="1"/>
    </xf>
    <xf numFmtId="0" fontId="9" fillId="0" borderId="8" xfId="1" applyFont="1" applyBorder="1" applyAlignment="1">
      <alignment horizontal="right" vertical="center" wrapText="1"/>
    </xf>
    <xf numFmtId="0" fontId="9" fillId="0" borderId="7" xfId="0" quotePrefix="1" applyFont="1" applyBorder="1" applyAlignment="1">
      <alignment horizontal="right" vertical="center" wrapText="1"/>
    </xf>
    <xf numFmtId="0" fontId="9" fillId="0" borderId="9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09AFD2C2-CDF6-40D4-A50D-BC5EED4B194B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06E9D-F327-4E01-ABF9-0F33090FAD26}">
  <sheetPr>
    <pageSetUpPr fitToPage="1"/>
  </sheetPr>
  <dimension ref="A1:AP50"/>
  <sheetViews>
    <sheetView workbookViewId="0">
      <selection activeCell="F10" sqref="F10"/>
    </sheetView>
  </sheetViews>
  <sheetFormatPr defaultColWidth="9.1328125" defaultRowHeight="14.25" x14ac:dyDescent="0.45"/>
  <cols>
    <col min="1" max="1" width="5.86328125" style="30" customWidth="1"/>
    <col min="2" max="2" width="6.73046875" style="30" customWidth="1"/>
    <col min="3" max="3" width="12.73046875" style="33" customWidth="1"/>
    <col min="4" max="4" width="9.73046875" style="30" bestFit="1" customWidth="1"/>
    <col min="5" max="5" width="2.73046875" style="4" customWidth="1"/>
    <col min="6" max="6" width="22.73046875" style="4" customWidth="1"/>
    <col min="7" max="7" width="4.73046875" style="30" customWidth="1"/>
    <col min="8" max="8" width="4.73046875" style="4" customWidth="1"/>
    <col min="9" max="9" width="22.73046875" style="4" customWidth="1"/>
    <col min="10" max="11" width="4.73046875" style="4" customWidth="1"/>
    <col min="12" max="12" width="18.73046875" style="4" customWidth="1"/>
    <col min="13" max="13" width="20.73046875" style="4" customWidth="1"/>
    <col min="14" max="14" width="18.73046875" style="4" hidden="1" customWidth="1"/>
    <col min="15" max="15" width="2.73046875" style="4" hidden="1" customWidth="1"/>
    <col min="16" max="16" width="6.73046875" style="4" hidden="1" customWidth="1"/>
    <col min="17" max="17" width="2.73046875" style="4" hidden="1" customWidth="1"/>
    <col min="18" max="18" width="20.73046875" style="30" hidden="1" customWidth="1"/>
    <col min="19" max="20" width="2.73046875" style="30" hidden="1" customWidth="1"/>
    <col min="21" max="21" width="20.73046875" style="30" hidden="1" customWidth="1"/>
    <col min="22" max="22" width="4.73046875" style="4" customWidth="1"/>
    <col min="23" max="23" width="4.73046875" style="30" customWidth="1"/>
    <col min="24" max="24" width="22.73046875" style="4" customWidth="1"/>
    <col min="25" max="25" width="15.265625" style="30" hidden="1" customWidth="1"/>
    <col min="26" max="26" width="18.73046875" style="4" customWidth="1"/>
    <col min="27" max="27" width="6.3984375" style="4" customWidth="1"/>
    <col min="28" max="29" width="9.1328125" style="6"/>
    <col min="30" max="30" width="13.265625" style="6" bestFit="1" customWidth="1"/>
    <col min="31" max="31" width="10.59765625" style="6" bestFit="1" customWidth="1"/>
    <col min="32" max="32" width="7.3984375" style="6" bestFit="1" customWidth="1"/>
    <col min="33" max="16384" width="9.1328125" style="6"/>
  </cols>
  <sheetData>
    <row r="1" spans="1:42" x14ac:dyDescent="0.45">
      <c r="A1" s="1" t="s">
        <v>0</v>
      </c>
      <c r="B1" s="1" t="s">
        <v>1</v>
      </c>
      <c r="C1" s="1" t="s">
        <v>2</v>
      </c>
      <c r="D1" s="1" t="s">
        <v>3</v>
      </c>
      <c r="E1" s="2"/>
      <c r="F1" s="76" t="s">
        <v>4</v>
      </c>
      <c r="G1" s="76"/>
      <c r="H1" s="76"/>
      <c r="I1" s="76"/>
      <c r="J1" s="76"/>
      <c r="K1" s="3"/>
      <c r="L1" s="1" t="s">
        <v>5</v>
      </c>
      <c r="M1" s="1" t="s">
        <v>6</v>
      </c>
      <c r="N1" s="1" t="s">
        <v>7</v>
      </c>
      <c r="O1" s="3"/>
      <c r="P1" s="1" t="s">
        <v>8</v>
      </c>
      <c r="Q1" s="3"/>
      <c r="R1" s="76" t="s">
        <v>9</v>
      </c>
      <c r="S1" s="76"/>
      <c r="T1" s="76"/>
      <c r="U1" s="76"/>
      <c r="W1" s="5" t="s">
        <v>10</v>
      </c>
      <c r="X1" s="5" t="s">
        <v>11</v>
      </c>
      <c r="Y1" s="5" t="s">
        <v>12</v>
      </c>
      <c r="Z1" s="5" t="s">
        <v>13</v>
      </c>
      <c r="AA1" s="5" t="s">
        <v>14</v>
      </c>
    </row>
    <row r="2" spans="1:42" x14ac:dyDescent="0.45">
      <c r="A2" s="7">
        <v>1</v>
      </c>
      <c r="B2" s="8">
        <f>+C2</f>
        <v>45819</v>
      </c>
      <c r="C2" s="9">
        <v>45819</v>
      </c>
      <c r="D2" s="10">
        <v>0.75</v>
      </c>
      <c r="E2" s="11"/>
      <c r="F2" s="12" t="str">
        <f>+R2</f>
        <v>LP1-Padres</v>
      </c>
      <c r="G2" s="13">
        <v>2</v>
      </c>
      <c r="H2" s="13" t="s">
        <v>15</v>
      </c>
      <c r="I2" s="12" t="str">
        <f>+U2</f>
        <v>CV-Athletics</v>
      </c>
      <c r="J2" s="13">
        <v>12</v>
      </c>
      <c r="K2" s="14"/>
      <c r="L2" s="13" t="s">
        <v>16</v>
      </c>
      <c r="M2" s="13" t="s">
        <v>17</v>
      </c>
      <c r="N2" s="13"/>
      <c r="O2" s="13"/>
      <c r="P2" s="13">
        <f>+G2+J2</f>
        <v>14</v>
      </c>
      <c r="Q2" s="13"/>
      <c r="R2" s="13" t="str">
        <f>+X2</f>
        <v>LP1-Padres</v>
      </c>
      <c r="S2" s="13"/>
      <c r="T2" s="13"/>
      <c r="U2" s="13" t="str">
        <f>+X3</f>
        <v>CV-Athletics</v>
      </c>
      <c r="V2" s="15"/>
      <c r="W2" s="16">
        <v>1</v>
      </c>
      <c r="X2" s="17" t="s">
        <v>69</v>
      </c>
      <c r="Y2" s="18">
        <f>VLOOKUP($W2,'D27'!$K$11:$P$16,3,FALSE)</f>
        <v>0</v>
      </c>
      <c r="Z2" s="19" t="str">
        <f>VLOOKUP($W2,'D27'!$K$11:$P$16,6,FALSE)</f>
        <v>LP-Palmer Park</v>
      </c>
      <c r="AA2" s="13">
        <f>IF(Z2="","",COUNTIF($L$2:$L$48,$Z2))</f>
        <v>1</v>
      </c>
    </row>
    <row r="3" spans="1:42" x14ac:dyDescent="0.45">
      <c r="A3" s="7">
        <v>2</v>
      </c>
      <c r="B3" s="8">
        <f>+C3</f>
        <v>45819</v>
      </c>
      <c r="C3" s="9">
        <v>45819</v>
      </c>
      <c r="D3" s="10">
        <v>0.75</v>
      </c>
      <c r="E3" s="11"/>
      <c r="F3" s="12" t="str">
        <f>+R3</f>
        <v>LP2-Marlins</v>
      </c>
      <c r="G3" s="13">
        <v>10</v>
      </c>
      <c r="H3" s="13" t="s">
        <v>15</v>
      </c>
      <c r="I3" s="12" t="str">
        <f>+U3</f>
        <v>GVE-Hooks</v>
      </c>
      <c r="J3" s="13">
        <v>2</v>
      </c>
      <c r="K3" s="14"/>
      <c r="L3" s="13" t="s">
        <v>16</v>
      </c>
      <c r="M3" s="13" t="s">
        <v>17</v>
      </c>
      <c r="N3" s="13"/>
      <c r="O3" s="14"/>
      <c r="P3" s="13">
        <f>+G3+J3</f>
        <v>12</v>
      </c>
      <c r="Q3" s="14"/>
      <c r="R3" s="13" t="str">
        <f>+X4</f>
        <v>LP2-Marlins</v>
      </c>
      <c r="S3" s="13"/>
      <c r="T3" s="13"/>
      <c r="U3" s="13" t="str">
        <f>+X5</f>
        <v>GVE-Hooks</v>
      </c>
      <c r="V3" s="15"/>
      <c r="W3" s="16">
        <f>+W2+1</f>
        <v>2</v>
      </c>
      <c r="X3" s="17" t="s">
        <v>67</v>
      </c>
      <c r="Y3" s="18">
        <f>VLOOKUP($W3,'D27'!$K$11:$P$16,3,FALSE)</f>
        <v>0</v>
      </c>
      <c r="Z3" s="19" t="str">
        <f>VLOOKUP($W3,'D27'!$K$11:$P$16,6,FALSE)</f>
        <v>CV-Monument Park</v>
      </c>
      <c r="AA3" s="13">
        <f>IF(Z3="","",COUNTIF($L$2:$L$48,$Z3))</f>
        <v>0</v>
      </c>
    </row>
    <row r="4" spans="1:42" x14ac:dyDescent="0.45">
      <c r="A4" s="7"/>
      <c r="B4" s="8"/>
      <c r="C4" s="9"/>
      <c r="D4" s="10"/>
      <c r="E4" s="11"/>
      <c r="F4" s="20"/>
      <c r="G4" s="13"/>
      <c r="H4" s="13"/>
      <c r="I4" s="16"/>
      <c r="J4" s="13"/>
      <c r="K4" s="14"/>
      <c r="L4" s="13"/>
      <c r="M4" s="13"/>
      <c r="N4" s="13"/>
      <c r="O4" s="14"/>
      <c r="P4" s="13"/>
      <c r="Q4" s="14"/>
      <c r="R4" s="13"/>
      <c r="S4" s="13"/>
      <c r="T4" s="13"/>
      <c r="U4" s="13"/>
      <c r="V4" s="15"/>
      <c r="W4" s="16">
        <f t="shared" ref="W4:W7" si="0">+W3+1</f>
        <v>3</v>
      </c>
      <c r="X4" s="17" t="s">
        <v>70</v>
      </c>
      <c r="Y4" s="18">
        <f>VLOOKUP($W4,'D27'!$K$11:$P$16,3,FALSE)</f>
        <v>0</v>
      </c>
      <c r="Z4" s="19" t="str">
        <f>VLOOKUP($W4,'D27'!$K$11:$P$16,6,FALSE)</f>
        <v/>
      </c>
      <c r="AA4" s="13" t="str">
        <f t="shared" ref="AA4:AA7" si="1">IF(Z4="","",COUNTIF($L$2:$L$48,$Z4))</f>
        <v/>
      </c>
    </row>
    <row r="5" spans="1:42" x14ac:dyDescent="0.45">
      <c r="A5" s="7">
        <v>3</v>
      </c>
      <c r="B5" s="8">
        <f t="shared" ref="B5:B6" si="2">+C5</f>
        <v>45821</v>
      </c>
      <c r="C5" s="9">
        <v>45821</v>
      </c>
      <c r="D5" s="10">
        <v>0.75</v>
      </c>
      <c r="E5" s="11"/>
      <c r="F5" s="12" t="str">
        <f>+R5</f>
        <v>PGP2-Expos</v>
      </c>
      <c r="G5" s="13">
        <v>4</v>
      </c>
      <c r="H5" s="13"/>
      <c r="I5" s="21" t="str" cm="1">
        <f t="array" aca="1" ref="I5" ca="1">IF((INDIRECT("SCHEDULE!P"&amp;T5))&gt;0,(IF((INDIRECT("SCHEDULE!G"&amp;T5))&gt;(INDIRECT("SCHEDULE!J"&amp;T5)),(INDIRECT("SCHEDULE!F"&amp;T5)),(INDIRECT("SCHEDULE!I"&amp;T5)))),U5)</f>
        <v>CV-Athletics</v>
      </c>
      <c r="J5" s="13">
        <v>15</v>
      </c>
      <c r="K5" s="14"/>
      <c r="L5" s="13" t="s">
        <v>18</v>
      </c>
      <c r="M5" s="13" t="s">
        <v>17</v>
      </c>
      <c r="N5" s="13"/>
      <c r="O5" s="14"/>
      <c r="P5" s="13">
        <f t="shared" ref="P5:P6" si="3">+G5+J5</f>
        <v>19</v>
      </c>
      <c r="Q5" s="14"/>
      <c r="R5" s="13" t="str">
        <f>+X6</f>
        <v>PGP2-Expos</v>
      </c>
      <c r="S5" s="13"/>
      <c r="T5" s="13">
        <v>2</v>
      </c>
      <c r="U5" s="13" t="s">
        <v>19</v>
      </c>
      <c r="V5" s="15"/>
      <c r="W5" s="16">
        <f t="shared" si="0"/>
        <v>4</v>
      </c>
      <c r="X5" s="17" t="s">
        <v>68</v>
      </c>
      <c r="Y5" s="18">
        <f>VLOOKUP($W5,'D27'!$K$11:$P$16,3,FALSE)</f>
        <v>0</v>
      </c>
      <c r="Z5" s="19" t="str">
        <f>VLOOKUP($W5,'D27'!$K$11:$P$16,6,FALSE)</f>
        <v>EX-Ship Park</v>
      </c>
      <c r="AA5" s="13">
        <f t="shared" si="1"/>
        <v>2</v>
      </c>
    </row>
    <row r="6" spans="1:42" x14ac:dyDescent="0.45">
      <c r="A6" s="7">
        <v>4</v>
      </c>
      <c r="B6" s="8">
        <f t="shared" si="2"/>
        <v>45821</v>
      </c>
      <c r="C6" s="9">
        <v>45821</v>
      </c>
      <c r="D6" s="10">
        <v>0.83333333333333337</v>
      </c>
      <c r="E6" s="11"/>
      <c r="F6" s="21" t="str" cm="1">
        <f t="array" aca="1" ref="F6" ca="1">IF((INDIRECT("SCHEDULE!P"&amp;S6))&gt;0,(IF((INDIRECT("SCHEDULE!G"&amp;S6))&gt;(INDIRECT("SCHEDULE!J"&amp;S6)),(INDIRECT("SCHEDULE!F"&amp;S6)),(INDIRECT("SCHEDULE!I"&amp;S6)))),R6)</f>
        <v>LP2-Marlins</v>
      </c>
      <c r="G6" s="13">
        <v>15</v>
      </c>
      <c r="H6" s="13"/>
      <c r="I6" s="12" t="str">
        <f>+U6</f>
        <v>PGP1-Marlins</v>
      </c>
      <c r="J6" s="13">
        <v>2</v>
      </c>
      <c r="K6" s="14"/>
      <c r="L6" s="13" t="s">
        <v>18</v>
      </c>
      <c r="M6" s="13" t="s">
        <v>17</v>
      </c>
      <c r="N6" s="13"/>
      <c r="O6" s="14"/>
      <c r="P6" s="13">
        <f t="shared" si="3"/>
        <v>17</v>
      </c>
      <c r="Q6" s="14"/>
      <c r="R6" s="13" t="s">
        <v>20</v>
      </c>
      <c r="S6" s="13">
        <v>3</v>
      </c>
      <c r="T6" s="13"/>
      <c r="U6" s="13" t="str">
        <f>+X7</f>
        <v>PGP1-Marlins</v>
      </c>
      <c r="V6" s="15"/>
      <c r="W6" s="16">
        <f t="shared" si="0"/>
        <v>5</v>
      </c>
      <c r="X6" s="17" t="s">
        <v>72</v>
      </c>
      <c r="Y6" s="18">
        <f>VLOOKUP($W6,'D27'!$K$11:$P$16,3,FALSE)</f>
        <v>0</v>
      </c>
      <c r="Z6" s="19" t="str">
        <f>VLOOKUP($W6,'D27'!$K$11:$P$16,6,FALSE)</f>
        <v/>
      </c>
      <c r="AA6" s="13" t="str">
        <f t="shared" si="1"/>
        <v/>
      </c>
    </row>
    <row r="7" spans="1:42" x14ac:dyDescent="0.45">
      <c r="A7" s="7"/>
      <c r="B7" s="8"/>
      <c r="C7" s="9"/>
      <c r="D7" s="10"/>
      <c r="E7" s="22"/>
      <c r="F7" s="20"/>
      <c r="G7" s="13"/>
      <c r="H7" s="13"/>
      <c r="I7" s="16"/>
      <c r="J7" s="13"/>
      <c r="K7" s="14"/>
      <c r="L7" s="13"/>
      <c r="M7" s="20"/>
      <c r="N7" s="13"/>
      <c r="O7" s="13"/>
      <c r="P7" s="13"/>
      <c r="Q7" s="13"/>
      <c r="R7" s="13"/>
      <c r="S7" s="13"/>
      <c r="T7" s="13"/>
      <c r="U7" s="13"/>
      <c r="V7" s="15"/>
      <c r="W7" s="16">
        <f t="shared" si="0"/>
        <v>6</v>
      </c>
      <c r="X7" s="17" t="s">
        <v>71</v>
      </c>
      <c r="Y7" s="18">
        <f>VLOOKUP($W7,'D27'!$K$11:$P$16,3,FALSE)</f>
        <v>0</v>
      </c>
      <c r="Z7" s="19" t="str">
        <f>VLOOKUP($W7,'D27'!$K$11:$P$16,6,FALSE)</f>
        <v>PGP-Novak Park</v>
      </c>
      <c r="AA7" s="13">
        <f t="shared" si="1"/>
        <v>2</v>
      </c>
    </row>
    <row r="8" spans="1:42" ht="28.5" x14ac:dyDescent="0.45">
      <c r="A8" s="7">
        <v>5</v>
      </c>
      <c r="B8" s="23">
        <f t="shared" ref="B8" si="4">+C8</f>
        <v>45824</v>
      </c>
      <c r="C8" s="24">
        <v>45824</v>
      </c>
      <c r="D8" s="25">
        <v>0.79166666666666663</v>
      </c>
      <c r="E8" s="22"/>
      <c r="F8" s="21" t="str" cm="1">
        <f t="array" aca="1" ref="F8" ca="1">IF((INDIRECT("SCHEDULE!P"&amp;S8))&gt;0,(IF((INDIRECT("SCHEDULE!G"&amp;S8))&gt;(INDIRECT("SCHEDULE!J"&amp;S8)),(INDIRECT("SCHEDULE!F"&amp;S8)),(INDIRECT("SCHEDULE!I"&amp;S8)))),R8)</f>
        <v>CV-Athletics</v>
      </c>
      <c r="G8" s="13">
        <v>5</v>
      </c>
      <c r="H8" s="13" t="s">
        <v>15</v>
      </c>
      <c r="I8" s="21" t="str" cm="1">
        <f t="array" aca="1" ref="I8" ca="1">IF((INDIRECT("SCHEDULE!P"&amp;T8))&gt;0,(IF((INDIRECT("SCHEDULE!G"&amp;T8))&gt;(INDIRECT("SCHEDULE!J"&amp;T8)),(INDIRECT("SCHEDULE!F"&amp;T8)),(INDIRECT("SCHEDULE!I"&amp;T8)))),U8)</f>
        <v>LP2-Marlins</v>
      </c>
      <c r="J8" s="13">
        <v>8</v>
      </c>
      <c r="K8" s="14"/>
      <c r="L8" s="13" t="s">
        <v>21</v>
      </c>
      <c r="M8" s="26" t="s">
        <v>22</v>
      </c>
      <c r="N8" s="13"/>
      <c r="O8" s="13"/>
      <c r="P8" s="13">
        <f>+G8+J8</f>
        <v>13</v>
      </c>
      <c r="Q8" s="13"/>
      <c r="R8" s="13" t="s">
        <v>23</v>
      </c>
      <c r="S8" s="13">
        <v>5</v>
      </c>
      <c r="T8" s="13">
        <v>6</v>
      </c>
      <c r="U8" s="13" t="s">
        <v>24</v>
      </c>
      <c r="V8" s="15"/>
      <c r="W8" s="13"/>
      <c r="X8" s="27"/>
      <c r="Y8" s="13"/>
      <c r="Z8" s="27"/>
      <c r="AA8" s="13" t="str">
        <f>IF(Z8="","",COUNTIF(#REF!,$Z8))</f>
        <v/>
      </c>
    </row>
    <row r="9" spans="1:42" x14ac:dyDescent="0.45">
      <c r="A9" s="7"/>
      <c r="B9" s="8"/>
      <c r="C9" s="9"/>
      <c r="D9" s="10"/>
      <c r="E9" s="22"/>
      <c r="F9" s="20"/>
      <c r="G9" s="13"/>
      <c r="H9" s="13"/>
      <c r="I9" s="20"/>
      <c r="J9" s="13"/>
      <c r="K9" s="14"/>
      <c r="L9" s="13"/>
      <c r="M9" s="20"/>
      <c r="N9" s="13"/>
      <c r="O9" s="13"/>
      <c r="P9" s="13"/>
      <c r="Q9" s="13"/>
      <c r="R9" s="13"/>
      <c r="S9" s="13"/>
      <c r="T9" s="13"/>
      <c r="U9" s="13"/>
      <c r="W9" s="13"/>
      <c r="X9" s="27"/>
      <c r="Y9" s="13"/>
      <c r="Z9" s="27"/>
      <c r="AA9" s="13" t="str">
        <f>IF(Z9="","",COUNTIF(#REF!,$Z9))</f>
        <v/>
      </c>
    </row>
    <row r="10" spans="1:42" x14ac:dyDescent="0.45">
      <c r="A10" s="77" t="s">
        <v>25</v>
      </c>
      <c r="B10" s="78"/>
      <c r="C10" s="79"/>
      <c r="D10" s="28"/>
      <c r="E10" s="22"/>
      <c r="F10" s="20" t="str" cm="1">
        <f t="array" aca="1" ref="F10" ca="1">IF((INDIRECT("SCHEDULE!P"&amp;S10))&gt;0,(IF((INDIRECT("SCHEDULE!G"&amp;S10))&gt;(INDIRECT("SCHEDULE!J"&amp;S10)),(INDIRECT("SCHEDULE!F"&amp;S10)),(INDIRECT("SCHEDULE!I"&amp;S10)))),R10)</f>
        <v>LP2-Marlins</v>
      </c>
      <c r="G10" s="13"/>
      <c r="H10" s="13"/>
      <c r="I10" s="20"/>
      <c r="J10" s="13"/>
      <c r="K10" s="14"/>
      <c r="L10" s="13"/>
      <c r="M10" s="20"/>
      <c r="N10" s="13"/>
      <c r="O10" s="14"/>
      <c r="P10" s="13"/>
      <c r="Q10" s="14"/>
      <c r="R10" s="13" t="s">
        <v>25</v>
      </c>
      <c r="S10" s="13">
        <v>8</v>
      </c>
      <c r="T10" s="13"/>
      <c r="U10" s="13"/>
      <c r="W10" s="16"/>
      <c r="X10" s="29" t="s">
        <v>26</v>
      </c>
      <c r="Y10" s="16"/>
      <c r="Z10" s="29"/>
      <c r="AA10" s="16">
        <f>SUM(AA2:AA9)</f>
        <v>5</v>
      </c>
    </row>
    <row r="11" spans="1:42" s="32" customFormat="1" x14ac:dyDescent="0.45">
      <c r="A11" s="30"/>
      <c r="B11" s="30"/>
      <c r="C11" s="31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4"/>
      <c r="Q11" s="30"/>
      <c r="R11" s="30"/>
      <c r="S11" s="30"/>
      <c r="T11" s="30"/>
      <c r="U11" s="4"/>
      <c r="V11" s="30"/>
      <c r="W11" s="4"/>
      <c r="X11" s="4"/>
      <c r="Y11" s="30"/>
      <c r="Z11" s="4"/>
      <c r="AA11" s="4"/>
      <c r="AB11" s="4"/>
      <c r="AC11" s="30"/>
      <c r="AD11" s="4"/>
      <c r="AE11" s="4"/>
      <c r="AF11" s="4"/>
      <c r="AG11" s="30"/>
      <c r="AH11" s="30"/>
      <c r="AI11" s="4"/>
      <c r="AJ11" s="30"/>
      <c r="AK11" s="4"/>
      <c r="AL11" s="4"/>
      <c r="AM11" s="4"/>
      <c r="AN11" s="30"/>
      <c r="AO11" s="30"/>
      <c r="AP11" s="4"/>
    </row>
    <row r="12" spans="1:42" s="32" customFormat="1" x14ac:dyDescent="0.45">
      <c r="A12" s="30"/>
      <c r="B12" s="30"/>
      <c r="C12" s="31"/>
      <c r="D12" s="30"/>
      <c r="E12" s="30"/>
      <c r="F12" s="30"/>
      <c r="G12" s="30"/>
      <c r="H12" s="4"/>
      <c r="I12" s="4"/>
      <c r="J12" s="4"/>
      <c r="K12" s="4"/>
      <c r="L12" s="30"/>
      <c r="M12" s="4"/>
      <c r="N12" s="4"/>
      <c r="O12" s="30"/>
      <c r="P12" s="4"/>
      <c r="Q12" s="30"/>
      <c r="R12" s="30"/>
      <c r="S12" s="30"/>
      <c r="T12" s="30"/>
      <c r="U12" s="4"/>
      <c r="V12" s="30"/>
      <c r="W12" s="4"/>
      <c r="X12" s="4"/>
      <c r="Y12" s="30"/>
      <c r="Z12" s="4"/>
      <c r="AA12" s="4"/>
      <c r="AB12" s="4"/>
      <c r="AC12" s="30"/>
      <c r="AD12" s="4"/>
      <c r="AE12" s="4"/>
      <c r="AF12" s="4"/>
      <c r="AG12" s="30"/>
      <c r="AH12" s="30"/>
      <c r="AI12" s="4"/>
      <c r="AJ12" s="30"/>
      <c r="AK12" s="4"/>
      <c r="AL12" s="4"/>
      <c r="AM12" s="4"/>
      <c r="AN12" s="30"/>
      <c r="AO12" s="30"/>
      <c r="AP12" s="4"/>
    </row>
    <row r="13" spans="1:42" s="32" customFormat="1" x14ac:dyDescent="0.45">
      <c r="A13" s="30"/>
      <c r="B13" s="30"/>
      <c r="C13" s="31"/>
      <c r="D13" s="30"/>
      <c r="E13" s="30"/>
      <c r="F13" s="30"/>
      <c r="G13" s="30"/>
      <c r="H13" s="4"/>
      <c r="I13" s="4"/>
      <c r="J13" s="4"/>
      <c r="K13" s="4"/>
      <c r="L13" s="80" t="s">
        <v>27</v>
      </c>
      <c r="M13" s="80"/>
      <c r="N13" s="4"/>
      <c r="O13" s="30"/>
      <c r="P13" s="4"/>
      <c r="Q13" s="30"/>
      <c r="R13" s="30"/>
      <c r="S13" s="30"/>
      <c r="T13" s="30"/>
      <c r="U13" s="4"/>
      <c r="V13" s="30"/>
      <c r="W13" s="4"/>
      <c r="X13" s="4"/>
      <c r="Y13" s="30"/>
      <c r="Z13" s="4"/>
      <c r="AA13" s="4"/>
      <c r="AB13" s="4"/>
      <c r="AC13" s="30"/>
      <c r="AD13" s="4"/>
      <c r="AE13" s="4"/>
      <c r="AF13" s="4"/>
      <c r="AG13" s="30"/>
      <c r="AH13" s="30"/>
      <c r="AI13" s="4"/>
      <c r="AJ13" s="30"/>
      <c r="AK13" s="4"/>
      <c r="AL13" s="4"/>
      <c r="AM13" s="4"/>
      <c r="AN13" s="30"/>
      <c r="AO13" s="30"/>
      <c r="AP13" s="4"/>
    </row>
    <row r="14" spans="1:42" s="32" customFormat="1" x14ac:dyDescent="0.45">
      <c r="A14" s="30"/>
      <c r="B14" s="30"/>
      <c r="C14" s="31"/>
      <c r="D14" s="30"/>
      <c r="E14" s="4"/>
      <c r="F14" s="4"/>
      <c r="G14" s="30"/>
      <c r="H14" s="4"/>
      <c r="I14" s="4"/>
      <c r="J14" s="4"/>
      <c r="K14" s="4"/>
      <c r="L14" s="80"/>
      <c r="M14" s="80"/>
      <c r="N14" s="4"/>
      <c r="O14" s="30"/>
      <c r="P14" s="4"/>
      <c r="Q14" s="30"/>
      <c r="R14" s="30"/>
      <c r="S14" s="30"/>
      <c r="T14" s="30"/>
      <c r="U14" s="4"/>
      <c r="V14" s="30"/>
      <c r="W14" s="4"/>
      <c r="X14" s="4"/>
      <c r="Y14" s="30"/>
      <c r="Z14" s="4"/>
      <c r="AA14" s="4"/>
      <c r="AB14" s="4"/>
      <c r="AC14" s="30"/>
      <c r="AD14" s="4"/>
      <c r="AE14" s="4"/>
      <c r="AF14" s="4"/>
      <c r="AG14" s="30"/>
      <c r="AH14" s="30"/>
      <c r="AI14" s="4"/>
      <c r="AJ14" s="30"/>
      <c r="AK14" s="4"/>
      <c r="AL14" s="4"/>
      <c r="AM14" s="4"/>
      <c r="AN14" s="30"/>
      <c r="AO14" s="30"/>
      <c r="AP14" s="4"/>
    </row>
    <row r="15" spans="1:42" x14ac:dyDescent="0.45">
      <c r="C15" s="30"/>
      <c r="E15" s="30"/>
      <c r="F15" s="30"/>
      <c r="H15" s="30"/>
      <c r="I15" s="30"/>
      <c r="J15" s="30"/>
      <c r="K15" s="30"/>
      <c r="L15" s="30"/>
      <c r="M15" s="30"/>
      <c r="N15" s="30"/>
      <c r="O15" s="30"/>
      <c r="Q15" s="30"/>
      <c r="V15" s="30"/>
    </row>
    <row r="16" spans="1:42" x14ac:dyDescent="0.45">
      <c r="C16" s="30"/>
      <c r="E16" s="30"/>
      <c r="F16" s="30"/>
      <c r="H16" s="30"/>
      <c r="I16" s="30"/>
      <c r="J16" s="30"/>
      <c r="K16" s="30"/>
      <c r="L16" s="30"/>
      <c r="M16" s="30"/>
      <c r="N16" s="30"/>
      <c r="O16" s="30"/>
      <c r="Q16" s="30"/>
      <c r="V16" s="30"/>
    </row>
    <row r="17" spans="3:22" x14ac:dyDescent="0.45">
      <c r="C17" s="30"/>
      <c r="E17" s="30"/>
      <c r="F17" s="30"/>
      <c r="J17" s="30"/>
      <c r="K17" s="30"/>
      <c r="L17" s="30"/>
      <c r="M17" s="30"/>
      <c r="N17" s="30"/>
      <c r="O17" s="30"/>
      <c r="Q17" s="30"/>
      <c r="V17" s="30"/>
    </row>
    <row r="18" spans="3:22" x14ac:dyDescent="0.45">
      <c r="C18" s="30"/>
      <c r="E18" s="30"/>
      <c r="F18" s="30"/>
      <c r="J18" s="30"/>
      <c r="K18" s="30"/>
      <c r="L18" s="30"/>
      <c r="M18" s="30"/>
      <c r="N18" s="30"/>
      <c r="O18" s="30"/>
      <c r="Q18" s="30"/>
      <c r="V18" s="30"/>
    </row>
    <row r="19" spans="3:22" x14ac:dyDescent="0.45">
      <c r="C19" s="30"/>
      <c r="E19" s="30"/>
      <c r="F19" s="30"/>
      <c r="J19" s="30"/>
      <c r="K19" s="30"/>
      <c r="L19" s="30"/>
      <c r="M19" s="30"/>
      <c r="N19" s="30"/>
      <c r="O19" s="30"/>
      <c r="Q19" s="30"/>
      <c r="V19" s="30"/>
    </row>
    <row r="20" spans="3:22" x14ac:dyDescent="0.45">
      <c r="C20" s="30"/>
      <c r="E20" s="30"/>
      <c r="F20" s="30"/>
      <c r="J20" s="30"/>
      <c r="K20" s="30"/>
      <c r="L20" s="30"/>
      <c r="M20" s="30"/>
      <c r="N20" s="30"/>
      <c r="O20" s="30"/>
      <c r="Q20" s="30"/>
      <c r="V20" s="30"/>
    </row>
    <row r="21" spans="3:22" x14ac:dyDescent="0.45">
      <c r="C21" s="30"/>
      <c r="E21" s="30"/>
      <c r="F21" s="30"/>
      <c r="J21" s="30"/>
      <c r="K21" s="30"/>
      <c r="L21" s="30"/>
      <c r="M21" s="30"/>
      <c r="N21" s="30"/>
      <c r="O21" s="30"/>
      <c r="Q21" s="30"/>
      <c r="V21" s="30"/>
    </row>
    <row r="22" spans="3:22" x14ac:dyDescent="0.45">
      <c r="C22" s="30"/>
      <c r="E22" s="30"/>
      <c r="F22" s="30"/>
      <c r="J22" s="30"/>
      <c r="K22" s="30"/>
      <c r="L22" s="30"/>
      <c r="M22" s="30"/>
      <c r="N22" s="30"/>
      <c r="O22" s="30"/>
      <c r="Q22" s="30"/>
      <c r="V22" s="30"/>
    </row>
    <row r="23" spans="3:22" x14ac:dyDescent="0.45">
      <c r="C23" s="30"/>
      <c r="E23" s="30"/>
      <c r="F23" s="30"/>
      <c r="J23" s="30"/>
      <c r="K23" s="30"/>
      <c r="L23" s="30"/>
      <c r="M23" s="30"/>
      <c r="N23" s="30"/>
      <c r="O23" s="30"/>
      <c r="Q23" s="30"/>
      <c r="V23" s="30"/>
    </row>
    <row r="24" spans="3:22" x14ac:dyDescent="0.45">
      <c r="C24" s="30"/>
      <c r="E24" s="30"/>
      <c r="F24" s="30"/>
      <c r="O24" s="30"/>
      <c r="Q24" s="30"/>
    </row>
    <row r="25" spans="3:22" x14ac:dyDescent="0.45">
      <c r="C25" s="30"/>
      <c r="E25" s="30"/>
      <c r="F25" s="30"/>
      <c r="O25" s="30"/>
      <c r="Q25" s="30"/>
    </row>
    <row r="26" spans="3:22" x14ac:dyDescent="0.45">
      <c r="C26" s="30"/>
      <c r="E26" s="30"/>
      <c r="F26" s="30"/>
      <c r="O26" s="30"/>
      <c r="Q26" s="30"/>
    </row>
    <row r="27" spans="3:22" x14ac:dyDescent="0.45">
      <c r="C27" s="30"/>
      <c r="E27" s="30"/>
      <c r="F27" s="30"/>
      <c r="O27" s="30"/>
      <c r="Q27" s="30"/>
    </row>
    <row r="28" spans="3:22" x14ac:dyDescent="0.45">
      <c r="C28" s="30"/>
      <c r="E28" s="30"/>
      <c r="F28" s="30"/>
      <c r="O28" s="30"/>
      <c r="Q28" s="30"/>
    </row>
    <row r="29" spans="3:22" x14ac:dyDescent="0.45">
      <c r="O29" s="30"/>
      <c r="Q29" s="30"/>
    </row>
    <row r="30" spans="3:22" x14ac:dyDescent="0.45">
      <c r="O30" s="30"/>
      <c r="Q30" s="30"/>
    </row>
    <row r="31" spans="3:22" x14ac:dyDescent="0.45">
      <c r="O31" s="30"/>
      <c r="Q31" s="30"/>
    </row>
    <row r="32" spans="3:22" x14ac:dyDescent="0.45">
      <c r="O32" s="30"/>
      <c r="Q32" s="30"/>
    </row>
    <row r="33" spans="15:17" x14ac:dyDescent="0.45">
      <c r="O33" s="30"/>
      <c r="Q33" s="30"/>
    </row>
    <row r="34" spans="15:17" x14ac:dyDescent="0.45">
      <c r="O34" s="30"/>
      <c r="Q34" s="30"/>
    </row>
    <row r="35" spans="15:17" x14ac:dyDescent="0.45">
      <c r="O35" s="30"/>
      <c r="Q35" s="30"/>
    </row>
    <row r="36" spans="15:17" x14ac:dyDescent="0.45">
      <c r="O36" s="30"/>
      <c r="Q36" s="30"/>
    </row>
    <row r="37" spans="15:17" x14ac:dyDescent="0.45">
      <c r="O37" s="30"/>
      <c r="Q37" s="30"/>
    </row>
    <row r="38" spans="15:17" x14ac:dyDescent="0.45">
      <c r="O38" s="30"/>
      <c r="Q38" s="30"/>
    </row>
    <row r="39" spans="15:17" x14ac:dyDescent="0.45">
      <c r="O39" s="30"/>
      <c r="Q39" s="30"/>
    </row>
    <row r="40" spans="15:17" x14ac:dyDescent="0.45">
      <c r="O40" s="30"/>
      <c r="Q40" s="30"/>
    </row>
    <row r="41" spans="15:17" x14ac:dyDescent="0.45">
      <c r="O41" s="30"/>
      <c r="Q41" s="30"/>
    </row>
    <row r="42" spans="15:17" x14ac:dyDescent="0.45">
      <c r="O42" s="30"/>
      <c r="Q42" s="30"/>
    </row>
    <row r="43" spans="15:17" x14ac:dyDescent="0.45">
      <c r="O43" s="30"/>
      <c r="Q43" s="30"/>
    </row>
    <row r="44" spans="15:17" x14ac:dyDescent="0.45">
      <c r="O44" s="30"/>
      <c r="Q44" s="30"/>
    </row>
    <row r="45" spans="15:17" x14ac:dyDescent="0.45">
      <c r="O45" s="30"/>
      <c r="Q45" s="30"/>
    </row>
    <row r="46" spans="15:17" x14ac:dyDescent="0.45">
      <c r="O46" s="30"/>
      <c r="Q46" s="30"/>
    </row>
    <row r="47" spans="15:17" x14ac:dyDescent="0.45">
      <c r="O47" s="30"/>
      <c r="Q47" s="30"/>
    </row>
    <row r="48" spans="15:17" x14ac:dyDescent="0.45">
      <c r="O48" s="30"/>
      <c r="Q48" s="30"/>
    </row>
    <row r="49" spans="15:17" x14ac:dyDescent="0.45">
      <c r="O49" s="30"/>
      <c r="Q49" s="30"/>
    </row>
    <row r="50" spans="15:17" x14ac:dyDescent="0.45">
      <c r="O50" s="30"/>
      <c r="P50" s="30"/>
      <c r="Q50" s="30"/>
    </row>
  </sheetData>
  <mergeCells count="4">
    <mergeCell ref="F1:J1"/>
    <mergeCell ref="R1:U1"/>
    <mergeCell ref="A10:C10"/>
    <mergeCell ref="L13:M14"/>
  </mergeCells>
  <pageMargins left="0.25" right="0.25" top="0.75" bottom="0.75" header="0.25" footer="0.25"/>
  <pageSetup scale="67" orientation="landscape" r:id="rId1"/>
  <headerFooter>
    <oddHeader>&amp;F</oddHeader>
    <oddFooter>&amp;L&amp;A&amp;C&amp;D&amp;RPage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67806-409B-4FDE-BFB3-0613A05A7847}">
  <sheetPr>
    <pageSetUpPr fitToPage="1"/>
  </sheetPr>
  <dimension ref="A2:E30"/>
  <sheetViews>
    <sheetView tabSelected="1" workbookViewId="0">
      <selection activeCell="D10" sqref="D10"/>
    </sheetView>
  </sheetViews>
  <sheetFormatPr defaultColWidth="9.1328125" defaultRowHeight="13.15" x14ac:dyDescent="0.45"/>
  <cols>
    <col min="1" max="4" width="22.73046875" style="34" customWidth="1"/>
    <col min="5" max="5" width="27.1328125" style="34" customWidth="1"/>
    <col min="6" max="7" width="12.73046875" style="34" customWidth="1"/>
    <col min="8" max="16384" width="9.1328125" style="34"/>
  </cols>
  <sheetData>
    <row r="2" spans="1:5" x14ac:dyDescent="0.45">
      <c r="D2" s="74" t="s">
        <v>28</v>
      </c>
      <c r="E2" s="81" t="s">
        <v>29</v>
      </c>
    </row>
    <row r="3" spans="1:5" x14ac:dyDescent="0.45">
      <c r="D3" s="75" t="s">
        <v>30</v>
      </c>
      <c r="E3" s="82"/>
    </row>
    <row r="4" spans="1:5" x14ac:dyDescent="0.35">
      <c r="A4" s="35"/>
      <c r="B4" s="36"/>
      <c r="C4" s="36"/>
      <c r="D4" s="36"/>
    </row>
    <row r="5" spans="1:5" x14ac:dyDescent="0.35">
      <c r="A5" s="35"/>
      <c r="B5" s="37" t="str">
        <f>IF(SCHEDULE!$P5&lt;1,SCHEDULE!$F5,_xlfn.CONCAT(SCHEDULE!$F5," - ", SCHEDULE!$G5))</f>
        <v>PGP2-Expos - 4</v>
      </c>
      <c r="C5" s="36"/>
      <c r="D5" s="36"/>
    </row>
    <row r="6" spans="1:5" x14ac:dyDescent="0.35">
      <c r="A6" s="37" t="str">
        <f>IF(SCHEDULE!$P2&lt;1,SCHEDULE!$F2,_xlfn.CONCAT(SCHEDULE!$F2," - ", SCHEDULE!$G2))</f>
        <v>LP1-Padres - 2</v>
      </c>
      <c r="B6" s="83" t="str">
        <f>_xlfn.CONCAT("(",SCHEDULE!$A5,") - ",TEXT(SCHEDULE!$C5,"DDD M/D")," ",TEXT(SCHEDULE!$D5,"H:MM AM/PM"),"
 (",SCHEDULE!$L5,")")</f>
        <v>(3) - Fri 6/13 6:00 PM
 (PGP-Novak Park)</v>
      </c>
      <c r="C6" s="37" t="str">
        <f ca="1">IF(SCHEDULE!$P8&lt;1,SCHEDULE!$F8,_xlfn.CONCAT(SCHEDULE!$F8," - ", SCHEDULE!$G8))</f>
        <v>CV-Athletics - 5</v>
      </c>
      <c r="D6" s="36"/>
    </row>
    <row r="7" spans="1:5" x14ac:dyDescent="0.35">
      <c r="A7" s="83" t="str">
        <f>_xlfn.CONCAT("(",SCHEDULE!$A2,") - ",TEXT(SCHEDULE!$C2,"DDD M/D")," ",TEXT(SCHEDULE!$D2,"H:MM AM/PM"),"
 (",SCHEDULE!$L2,")")</f>
        <v>(1) - Wed 6/11 6:00 PM
 (EX-Ship Park)</v>
      </c>
      <c r="B7" s="84"/>
      <c r="C7" s="85" t="str">
        <f>_xlfn.CONCAT("(",SCHEDULE!$A8,") - ",TEXT(SCHEDULE!$C8,"DDD M/D")," ",TEXT(SCHEDULE!$D8,"H:MM AM/PM"),"
 (",SCHEDULE!$L8,")")</f>
        <v>(5) - Mon 6/16 7:00 PM
 (LP-Palmer Park)</v>
      </c>
      <c r="D7" s="36"/>
    </row>
    <row r="8" spans="1:5" x14ac:dyDescent="0.35">
      <c r="A8" s="84"/>
      <c r="B8" s="37" t="str">
        <f ca="1">IF(SCHEDULE!$P5&lt;1,SCHEDULE!$I5,_xlfn.CONCAT(SCHEDULE!$I5," - ", SCHEDULE!$J5))</f>
        <v>CV-Athletics - 15</v>
      </c>
      <c r="C8" s="86"/>
      <c r="D8" s="36"/>
    </row>
    <row r="9" spans="1:5" x14ac:dyDescent="0.35">
      <c r="A9" s="37" t="str">
        <f>IF(SCHEDULE!$P2&lt;1,SCHEDULE!$I2,_xlfn.CONCAT(SCHEDULE!$I2," - ", SCHEDULE!$J2))</f>
        <v>CV-Athletics - 12</v>
      </c>
      <c r="B9" s="36"/>
      <c r="C9" s="86"/>
      <c r="D9" s="36"/>
    </row>
    <row r="10" spans="1:5" x14ac:dyDescent="0.35">
      <c r="A10" s="36"/>
      <c r="B10" s="36"/>
      <c r="C10" s="86"/>
      <c r="D10" s="38" t="str">
        <f ca="1">+SCHEDULE!F10</f>
        <v>LP2-Marlins</v>
      </c>
    </row>
    <row r="11" spans="1:5" x14ac:dyDescent="0.35">
      <c r="A11" s="37" t="str">
        <f>IF(SCHEDULE!$P3&lt;1,SCHEDULE!$F3,_xlfn.CONCAT(SCHEDULE!$F3," - ", SCHEDULE!$G3))</f>
        <v>LP2-Marlins - 10</v>
      </c>
      <c r="B11" s="36"/>
      <c r="C11" s="86"/>
      <c r="D11" s="39" t="str">
        <f ca="1">IF(D10="CHAMPION","","CHAMPION")</f>
        <v>CHAMPION</v>
      </c>
    </row>
    <row r="12" spans="1:5" x14ac:dyDescent="0.35">
      <c r="A12" s="83" t="str">
        <f>_xlfn.CONCAT("(",SCHEDULE!$A3,") - ",TEXT(SCHEDULE!$C3,"DDD M/D")," ",TEXT(SCHEDULE!$D3,"H:MM AM/PM"),"
 (",SCHEDULE!$L3,")")</f>
        <v>(2) - Wed 6/11 6:00 PM
 (EX-Ship Park)</v>
      </c>
      <c r="B12" s="37" t="str">
        <f ca="1">IF(SCHEDULE!$P6&lt;1,SCHEDULE!$F6,_xlfn.CONCAT(SCHEDULE!$F6," - ", SCHEDULE!$G6))</f>
        <v>LP2-Marlins - 15</v>
      </c>
      <c r="C12" s="86"/>
      <c r="D12" s="36"/>
    </row>
    <row r="13" spans="1:5" x14ac:dyDescent="0.35">
      <c r="A13" s="84"/>
      <c r="B13" s="83" t="str">
        <f>_xlfn.CONCAT("(",SCHEDULE!$A6,") - ",TEXT(SCHEDULE!$C6,"DDD M/D")," ",TEXT(SCHEDULE!$D6,"H:MM AM/PM"),"
 (",SCHEDULE!$L6,")")</f>
        <v>(4) - Fri 6/13 8:00 PM
 (PGP-Novak Park)</v>
      </c>
      <c r="C13" s="87"/>
      <c r="D13" s="36"/>
    </row>
    <row r="14" spans="1:5" x14ac:dyDescent="0.35">
      <c r="A14" s="37" t="str">
        <f>IF(SCHEDULE!$P3&lt;1,SCHEDULE!$I3,_xlfn.CONCAT(SCHEDULE!$I3," - ", SCHEDULE!$J3))</f>
        <v>GVE-Hooks - 2</v>
      </c>
      <c r="B14" s="84"/>
      <c r="C14" s="37" t="str">
        <f ca="1">IF(SCHEDULE!$P8&lt;1,SCHEDULE!$I8,_xlfn.CONCAT(SCHEDULE!$I8," - ", SCHEDULE!$J8))</f>
        <v>LP2-Marlins - 8</v>
      </c>
      <c r="D14" s="36"/>
    </row>
    <row r="15" spans="1:5" x14ac:dyDescent="0.35">
      <c r="A15" s="36"/>
      <c r="B15" s="37" t="str">
        <f>IF(SCHEDULE!$P6&lt;1,SCHEDULE!$I6,_xlfn.CONCAT(SCHEDULE!$I6," - ", SCHEDULE!$J6))</f>
        <v>PGP1-Marlins - 2</v>
      </c>
      <c r="C15" s="36"/>
      <c r="D15" s="36"/>
    </row>
    <row r="16" spans="1:5" ht="14.25" x14ac:dyDescent="0.45">
      <c r="A16" s="40"/>
      <c r="B16" s="40"/>
      <c r="C16" s="40"/>
      <c r="D16" s="41"/>
    </row>
    <row r="17" s="34" customFormat="1" x14ac:dyDescent="0.45"/>
    <row r="18" s="34" customFormat="1" x14ac:dyDescent="0.45"/>
    <row r="19" s="34" customFormat="1" x14ac:dyDescent="0.45"/>
    <row r="20" s="34" customFormat="1" x14ac:dyDescent="0.45"/>
    <row r="21" s="34" customFormat="1" x14ac:dyDescent="0.45"/>
    <row r="22" s="34" customFormat="1" x14ac:dyDescent="0.45"/>
    <row r="23" s="34" customFormat="1" x14ac:dyDescent="0.45"/>
    <row r="24" s="34" customFormat="1" x14ac:dyDescent="0.45"/>
    <row r="25" s="34" customFormat="1" x14ac:dyDescent="0.45"/>
    <row r="26" s="34" customFormat="1" x14ac:dyDescent="0.45"/>
    <row r="27" s="34" customFormat="1" x14ac:dyDescent="0.45"/>
    <row r="28" s="34" customFormat="1" x14ac:dyDescent="0.45"/>
    <row r="29" s="34" customFormat="1" x14ac:dyDescent="0.45"/>
    <row r="30" s="34" customFormat="1" x14ac:dyDescent="0.45"/>
  </sheetData>
  <mergeCells count="6">
    <mergeCell ref="E2:E3"/>
    <mergeCell ref="B6:B7"/>
    <mergeCell ref="A7:A8"/>
    <mergeCell ref="C7:C13"/>
    <mergeCell ref="A12:A13"/>
    <mergeCell ref="B13:B14"/>
  </mergeCells>
  <pageMargins left="0.25" right="0.25" top="0.75" bottom="0.75" header="0.25" footer="0.25"/>
  <pageSetup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9020-575F-428B-B415-CC06594C22C7}">
  <dimension ref="A1:R23"/>
  <sheetViews>
    <sheetView zoomScale="80" zoomScaleNormal="80" workbookViewId="0">
      <selection activeCell="H2" sqref="H2"/>
    </sheetView>
  </sheetViews>
  <sheetFormatPr defaultColWidth="9.1328125" defaultRowHeight="13.15" x14ac:dyDescent="0.4"/>
  <cols>
    <col min="1" max="1" width="13.1328125" style="57" bestFit="1" customWidth="1"/>
    <col min="2" max="2" width="3.3984375" style="57" bestFit="1" customWidth="1"/>
    <col min="3" max="3" width="20" style="57" bestFit="1" customWidth="1"/>
    <col min="4" max="4" width="11.73046875" style="70" bestFit="1" customWidth="1"/>
    <col min="5" max="5" width="13" style="57" bestFit="1" customWidth="1"/>
    <col min="6" max="6" width="10.265625" style="57" bestFit="1" customWidth="1"/>
    <col min="7" max="7" width="20" style="58" bestFit="1" customWidth="1"/>
    <col min="8" max="8" width="5.73046875" style="57" bestFit="1" customWidth="1"/>
    <col min="9" max="9" width="16.73046875" style="58" bestFit="1" customWidth="1"/>
    <col min="10" max="10" width="20" style="58" bestFit="1" customWidth="1"/>
    <col min="11" max="11" width="6" style="58" bestFit="1" customWidth="1"/>
    <col min="12" max="12" width="20" style="58" bestFit="1" customWidth="1"/>
    <col min="13" max="13" width="23.3984375" style="58" bestFit="1" customWidth="1"/>
    <col min="14" max="14" width="10.265625" style="58" bestFit="1" customWidth="1"/>
    <col min="15" max="16" width="16.73046875" style="58" bestFit="1" customWidth="1"/>
    <col min="17" max="17" width="13.3984375" style="58" bestFit="1" customWidth="1"/>
    <col min="18" max="18" width="7.265625" style="58" bestFit="1" customWidth="1"/>
    <col min="19" max="16384" width="9.1328125" style="44"/>
  </cols>
  <sheetData>
    <row r="1" spans="1:18" x14ac:dyDescent="0.4">
      <c r="A1" s="42" t="str">
        <f>+SCHEDULE!A1</f>
        <v>G #</v>
      </c>
      <c r="B1" s="42" t="s">
        <v>31</v>
      </c>
      <c r="C1" s="42" t="str">
        <f>+SCHEDULE!B1</f>
        <v>Day</v>
      </c>
      <c r="D1" s="42" t="str">
        <f>+SCHEDULE!C1</f>
        <v>Date</v>
      </c>
      <c r="E1" s="42" t="str">
        <f>+SCHEDULE!D1</f>
        <v>Time</v>
      </c>
      <c r="F1" s="43"/>
      <c r="G1" s="88" t="str">
        <f>+SCHEDULE!F1</f>
        <v>Teams &amp; Scores</v>
      </c>
      <c r="H1" s="89"/>
      <c r="I1" s="89"/>
      <c r="J1" s="89"/>
      <c r="K1" s="90"/>
      <c r="L1" s="42" t="str">
        <f>+SCHEDULE!L1</f>
        <v>Host/Park/Field</v>
      </c>
      <c r="M1" s="42" t="str">
        <f>+SCHEDULE!M1</f>
        <v>Umpire(s)</v>
      </c>
      <c r="N1" s="42" t="s">
        <v>32</v>
      </c>
      <c r="O1" s="42" t="s">
        <v>33</v>
      </c>
      <c r="P1" s="42" t="s">
        <v>34</v>
      </c>
      <c r="Q1" s="42" t="s">
        <v>35</v>
      </c>
      <c r="R1" s="42" t="s">
        <v>36</v>
      </c>
    </row>
    <row r="2" spans="1:18" ht="14.25" x14ac:dyDescent="0.4">
      <c r="A2" s="45" t="str">
        <f>CONCATENATE($C$23,B2)</f>
        <v>BB-BobJones-1</v>
      </c>
      <c r="B2" s="45">
        <v>1</v>
      </c>
      <c r="C2" s="46">
        <f>VLOOKUP($B2,SCHEDULE!$A$2:$M$8,2,FALSE)</f>
        <v>45819</v>
      </c>
      <c r="D2" s="47">
        <f>VLOOKUP($B2,SCHEDULE!$A$2:$M$8,3,FALSE)</f>
        <v>45819</v>
      </c>
      <c r="E2" s="48">
        <f>VLOOKUP($B2,SCHEDULE!$A$2:$M$8,4,FALSE)</f>
        <v>0.75</v>
      </c>
      <c r="F2" s="48"/>
      <c r="G2" s="49" t="str">
        <f>VLOOKUP($B2,SCHEDULE!$A$2:$M$8,6,FALSE)</f>
        <v>LP1-Padres</v>
      </c>
      <c r="H2" s="50">
        <f>VLOOKUP($B2,SCHEDULE!$A$2:$M$8,7,FALSE)</f>
        <v>2</v>
      </c>
      <c r="I2" s="50" t="str">
        <f>VLOOKUP($B2,SCHEDULE!$A$2:$M$8,8,FALSE)</f>
        <v>vs</v>
      </c>
      <c r="J2" s="49" t="str">
        <f>VLOOKUP($B2,SCHEDULE!$A$2:$M$8,9,FALSE)</f>
        <v>CV-Athletics</v>
      </c>
      <c r="K2" s="50">
        <f>VLOOKUP($B2,SCHEDULE!$A$2:$M$8,10,FALSE)</f>
        <v>12</v>
      </c>
      <c r="L2" s="50" t="str">
        <f>VLOOKUP($B2,SCHEDULE!$A$2:$M$8,12,FALSE)</f>
        <v>EX-Ship Park</v>
      </c>
      <c r="M2" s="50" t="str">
        <f>VLOOKUP($B2,SCHEDULE!$A$2:$M$8,13,FALSE)</f>
        <v>Local Umpires</v>
      </c>
      <c r="N2" s="51" t="s">
        <v>37</v>
      </c>
      <c r="O2" s="50" t="s">
        <v>28</v>
      </c>
      <c r="P2" s="50" t="s">
        <v>38</v>
      </c>
      <c r="Q2" s="50"/>
      <c r="R2" s="50"/>
    </row>
    <row r="3" spans="1:18" ht="14.25" x14ac:dyDescent="0.4">
      <c r="A3" s="45" t="str">
        <f>CONCATENATE($C$23,B3)</f>
        <v>BB-BobJones-2</v>
      </c>
      <c r="B3" s="45">
        <v>2</v>
      </c>
      <c r="C3" s="46">
        <f>VLOOKUP($B3,SCHEDULE!$A$2:$M$8,2,FALSE)</f>
        <v>45819</v>
      </c>
      <c r="D3" s="47">
        <f>VLOOKUP($B3,SCHEDULE!$A$2:$M$8,3,FALSE)</f>
        <v>45819</v>
      </c>
      <c r="E3" s="48">
        <f>VLOOKUP($B3,SCHEDULE!$A$2:$M$8,4,FALSE)</f>
        <v>0.75</v>
      </c>
      <c r="F3" s="48"/>
      <c r="G3" s="49" t="str">
        <f>VLOOKUP($B3,SCHEDULE!$A$2:$M$8,6,FALSE)</f>
        <v>LP2-Marlins</v>
      </c>
      <c r="H3" s="50">
        <f>VLOOKUP($B3,SCHEDULE!$A$2:$M$8,7,FALSE)</f>
        <v>10</v>
      </c>
      <c r="I3" s="50" t="str">
        <f>VLOOKUP($B3,SCHEDULE!$A$2:$M$8,8,FALSE)</f>
        <v>vs</v>
      </c>
      <c r="J3" s="49" t="str">
        <f>VLOOKUP($B3,SCHEDULE!$A$2:$M$8,9,FALSE)</f>
        <v>GVE-Hooks</v>
      </c>
      <c r="K3" s="50">
        <f>VLOOKUP($B3,SCHEDULE!$A$2:$M$8,10,FALSE)</f>
        <v>2</v>
      </c>
      <c r="L3" s="50" t="str">
        <f>VLOOKUP($B3,SCHEDULE!$A$2:$M$8,12,FALSE)</f>
        <v>EX-Ship Park</v>
      </c>
      <c r="M3" s="50" t="str">
        <f>VLOOKUP($B3,SCHEDULE!$A$2:$M$8,13,FALSE)</f>
        <v>Local Umpires</v>
      </c>
      <c r="N3" s="51" t="s">
        <v>37</v>
      </c>
      <c r="O3" s="50" t="s">
        <v>28</v>
      </c>
      <c r="P3" s="50" t="s">
        <v>38</v>
      </c>
      <c r="Q3" s="50"/>
      <c r="R3" s="50"/>
    </row>
    <row r="4" spans="1:18" ht="14.25" x14ac:dyDescent="0.4">
      <c r="A4" s="45" t="str">
        <f t="shared" ref="A4:A6" si="0">CONCATENATE($C$23,B4)</f>
        <v>BB-BobJones-3</v>
      </c>
      <c r="B4" s="45">
        <v>3</v>
      </c>
      <c r="C4" s="46">
        <f>VLOOKUP($B4,SCHEDULE!$A$2:$M$8,2,FALSE)</f>
        <v>45821</v>
      </c>
      <c r="D4" s="47">
        <f>VLOOKUP($B4,SCHEDULE!$A$2:$M$8,3,FALSE)</f>
        <v>45821</v>
      </c>
      <c r="E4" s="48">
        <f>VLOOKUP($B4,SCHEDULE!$A$2:$M$8,4,FALSE)</f>
        <v>0.75</v>
      </c>
      <c r="F4" s="48"/>
      <c r="G4" s="49" t="str">
        <f>VLOOKUP($B4,SCHEDULE!$A$2:$M$8,6,FALSE)</f>
        <v>PGP2-Expos</v>
      </c>
      <c r="H4" s="50">
        <f>VLOOKUP($B4,SCHEDULE!$A$2:$M$8,7,FALSE)</f>
        <v>4</v>
      </c>
      <c r="I4" s="50">
        <f>VLOOKUP($B4,SCHEDULE!$A$2:$M$8,8,FALSE)</f>
        <v>0</v>
      </c>
      <c r="J4" s="52" t="str">
        <f ca="1">VLOOKUP($B4,SCHEDULE!$A$2:$M$8,9,FALSE)</f>
        <v>CV-Athletics</v>
      </c>
      <c r="K4" s="50">
        <f>VLOOKUP($B4,SCHEDULE!$A$2:$M$8,10,FALSE)</f>
        <v>15</v>
      </c>
      <c r="L4" s="50" t="str">
        <f>VLOOKUP($B4,SCHEDULE!$A$2:$M$8,12,FALSE)</f>
        <v>PGP-Novak Park</v>
      </c>
      <c r="M4" s="50" t="str">
        <f>VLOOKUP($B4,SCHEDULE!$A$2:$M$8,13,FALSE)</f>
        <v>Local Umpires</v>
      </c>
      <c r="N4" s="51" t="s">
        <v>37</v>
      </c>
      <c r="O4" s="50" t="s">
        <v>28</v>
      </c>
      <c r="P4" s="50" t="s">
        <v>38</v>
      </c>
      <c r="Q4" s="50"/>
      <c r="R4" s="50"/>
    </row>
    <row r="5" spans="1:18" ht="14.25" x14ac:dyDescent="0.4">
      <c r="A5" s="45" t="str">
        <f t="shared" si="0"/>
        <v>BB-BobJones-4</v>
      </c>
      <c r="B5" s="45">
        <v>4</v>
      </c>
      <c r="C5" s="46">
        <f>VLOOKUP($B5,SCHEDULE!$A$2:$M$8,2,FALSE)</f>
        <v>45821</v>
      </c>
      <c r="D5" s="47">
        <f>VLOOKUP($B5,SCHEDULE!$A$2:$M$8,3,FALSE)</f>
        <v>45821</v>
      </c>
      <c r="E5" s="48">
        <f>VLOOKUP($B5,SCHEDULE!$A$2:$M$8,4,FALSE)</f>
        <v>0.83333333333333337</v>
      </c>
      <c r="F5" s="48"/>
      <c r="G5" s="52" t="str">
        <f ca="1">VLOOKUP($B5,SCHEDULE!$A$2:$M$8,6,FALSE)</f>
        <v>LP2-Marlins</v>
      </c>
      <c r="H5" s="50">
        <f>VLOOKUP($B5,SCHEDULE!$A$2:$M$8,7,FALSE)</f>
        <v>15</v>
      </c>
      <c r="I5" s="50">
        <f>VLOOKUP($B5,SCHEDULE!$A$2:$M$8,8,FALSE)</f>
        <v>0</v>
      </c>
      <c r="J5" s="49" t="str">
        <f>VLOOKUP($B5,SCHEDULE!$A$2:$M$8,9,FALSE)</f>
        <v>PGP1-Marlins</v>
      </c>
      <c r="K5" s="50">
        <f>VLOOKUP($B5,SCHEDULE!$A$2:$M$8,10,FALSE)</f>
        <v>2</v>
      </c>
      <c r="L5" s="50" t="str">
        <f>VLOOKUP($B5,SCHEDULE!$A$2:$M$8,12,FALSE)</f>
        <v>PGP-Novak Park</v>
      </c>
      <c r="M5" s="50" t="str">
        <f>VLOOKUP($B5,SCHEDULE!$A$2:$M$8,13,FALSE)</f>
        <v>Local Umpires</v>
      </c>
      <c r="N5" s="51" t="s">
        <v>37</v>
      </c>
      <c r="O5" s="50" t="s">
        <v>28</v>
      </c>
      <c r="P5" s="50" t="s">
        <v>38</v>
      </c>
      <c r="Q5" s="50"/>
      <c r="R5" s="50"/>
    </row>
    <row r="6" spans="1:18" ht="14.25" x14ac:dyDescent="0.4">
      <c r="A6" s="45" t="str">
        <f t="shared" si="0"/>
        <v>BB-BobJones-5</v>
      </c>
      <c r="B6" s="45">
        <v>5</v>
      </c>
      <c r="C6" s="53">
        <f>VLOOKUP($B6,SCHEDULE!$A$2:$M$8,2,FALSE)</f>
        <v>45824</v>
      </c>
      <c r="D6" s="54">
        <f>VLOOKUP($B6,SCHEDULE!$A$2:$M$8,3,FALSE)</f>
        <v>45824</v>
      </c>
      <c r="E6" s="55">
        <f>VLOOKUP($B6,SCHEDULE!$A$2:$M$8,4,FALSE)</f>
        <v>0.79166666666666663</v>
      </c>
      <c r="F6" s="48"/>
      <c r="G6" s="52" t="str">
        <f ca="1">VLOOKUP($B6,SCHEDULE!$A$2:$M$8,6,FALSE)</f>
        <v>CV-Athletics</v>
      </c>
      <c r="H6" s="50">
        <f>VLOOKUP($B6,SCHEDULE!$A$2:$M$8,7,FALSE)</f>
        <v>5</v>
      </c>
      <c r="I6" s="50" t="str">
        <f>VLOOKUP($B6,SCHEDULE!$A$2:$M$8,8,FALSE)</f>
        <v>vs</v>
      </c>
      <c r="J6" s="52" t="str">
        <f ca="1">VLOOKUP($B6,SCHEDULE!$A$2:$M$8,9,FALSE)</f>
        <v>LP2-Marlins</v>
      </c>
      <c r="K6" s="50">
        <f>VLOOKUP($B6,SCHEDULE!$A$2:$M$8,10,FALSE)</f>
        <v>8</v>
      </c>
      <c r="L6" s="50" t="str">
        <f>VLOOKUP($B6,SCHEDULE!$A$2:$M$8,12,FALSE)</f>
        <v>LP-Palmer Park</v>
      </c>
      <c r="M6" s="56" t="str">
        <f>VLOOKUP($B6,SCHEDULE!$A$2:$M$8,13,FALSE)</f>
        <v>Assigned by 
D27 Gary Hall</v>
      </c>
      <c r="N6" s="51" t="s">
        <v>37</v>
      </c>
      <c r="O6" s="50" t="s">
        <v>28</v>
      </c>
      <c r="P6" s="50" t="s">
        <v>38</v>
      </c>
      <c r="Q6" s="50" t="s">
        <v>35</v>
      </c>
      <c r="R6" s="50"/>
    </row>
    <row r="7" spans="1:18" x14ac:dyDescent="0.4">
      <c r="D7" s="57"/>
      <c r="G7" s="57"/>
    </row>
    <row r="8" spans="1:18" x14ac:dyDescent="0.4">
      <c r="D8" s="57"/>
      <c r="G8" s="57"/>
    </row>
    <row r="9" spans="1:18" x14ac:dyDescent="0.4">
      <c r="D9" s="57"/>
      <c r="G9" s="57"/>
    </row>
    <row r="10" spans="1:18" x14ac:dyDescent="0.4">
      <c r="A10" s="44"/>
      <c r="B10" s="59" t="s">
        <v>10</v>
      </c>
      <c r="C10" s="59" t="s">
        <v>11</v>
      </c>
      <c r="D10" s="59" t="s">
        <v>39</v>
      </c>
      <c r="E10" s="59" t="s">
        <v>40</v>
      </c>
      <c r="F10" s="59" t="s">
        <v>41</v>
      </c>
      <c r="G10" s="59"/>
      <c r="H10" s="59" t="s">
        <v>42</v>
      </c>
      <c r="I10" s="60" t="s">
        <v>13</v>
      </c>
      <c r="J10" s="59" t="s">
        <v>43</v>
      </c>
      <c r="K10" s="59" t="s">
        <v>44</v>
      </c>
      <c r="L10" s="59" t="str">
        <f t="shared" ref="L10:L16" si="1">+C10</f>
        <v>Team</v>
      </c>
      <c r="M10" s="59" t="s">
        <v>12</v>
      </c>
      <c r="N10" s="59" t="str">
        <f t="shared" ref="N10:O16" si="2">+D10</f>
        <v>Manager</v>
      </c>
      <c r="O10" s="59" t="str">
        <f t="shared" si="2"/>
        <v>Email Address</v>
      </c>
      <c r="P10" s="59" t="str">
        <f>+I10</f>
        <v>Park</v>
      </c>
      <c r="Q10" s="44"/>
      <c r="R10" s="44"/>
    </row>
    <row r="11" spans="1:18" x14ac:dyDescent="0.4">
      <c r="A11" s="44"/>
      <c r="B11" s="61">
        <v>1</v>
      </c>
      <c r="C11" s="71" t="s">
        <v>45</v>
      </c>
      <c r="D11" s="72" t="s">
        <v>46</v>
      </c>
      <c r="E11" s="72"/>
      <c r="F11" s="73"/>
      <c r="G11" s="73"/>
      <c r="H11" s="73" t="s">
        <v>47</v>
      </c>
      <c r="I11" s="72" t="s">
        <v>48</v>
      </c>
      <c r="J11" s="73">
        <v>11.07</v>
      </c>
      <c r="K11" s="62">
        <f t="shared" ref="K11:K16" si="3">RANK($J11,J$11:J$16,1)</f>
        <v>2</v>
      </c>
      <c r="L11" s="63" t="str">
        <f t="shared" si="1"/>
        <v>Chester Valley</v>
      </c>
      <c r="M11" s="63"/>
      <c r="N11" s="61" t="str">
        <f t="shared" si="2"/>
        <v>Manager 01</v>
      </c>
      <c r="O11" s="61">
        <f t="shared" si="2"/>
        <v>0</v>
      </c>
      <c r="P11" s="63" t="str">
        <f>IF(I11&lt;&gt;"",I11,"")</f>
        <v>CV-Monument Park</v>
      </c>
      <c r="Q11" s="44"/>
      <c r="R11" s="44"/>
    </row>
    <row r="12" spans="1:18" x14ac:dyDescent="0.4">
      <c r="A12" s="44"/>
      <c r="B12" s="61">
        <f>+B11+1</f>
        <v>2</v>
      </c>
      <c r="C12" s="71" t="s">
        <v>49</v>
      </c>
      <c r="D12" s="72" t="s">
        <v>50</v>
      </c>
      <c r="E12" s="72"/>
      <c r="F12" s="73"/>
      <c r="G12" s="73"/>
      <c r="H12" s="73" t="s">
        <v>49</v>
      </c>
      <c r="I12" s="72" t="s">
        <v>16</v>
      </c>
      <c r="J12" s="73">
        <v>13.07</v>
      </c>
      <c r="K12" s="62">
        <f t="shared" si="3"/>
        <v>4</v>
      </c>
      <c r="L12" s="63" t="str">
        <f t="shared" si="1"/>
        <v>GVE</v>
      </c>
      <c r="M12" s="63"/>
      <c r="N12" s="61" t="str">
        <f t="shared" si="2"/>
        <v>Manager 02</v>
      </c>
      <c r="O12" s="61">
        <f t="shared" si="2"/>
        <v>0</v>
      </c>
      <c r="P12" s="63" t="str">
        <f t="shared" ref="P12:P16" si="4">IF(I12&lt;&gt;"",I12,"")</f>
        <v>EX-Ship Park</v>
      </c>
      <c r="Q12" s="44"/>
      <c r="R12" s="44"/>
    </row>
    <row r="13" spans="1:18" x14ac:dyDescent="0.4">
      <c r="A13" s="44"/>
      <c r="B13" s="61">
        <f>+B12+1</f>
        <v>3</v>
      </c>
      <c r="C13" s="71" t="s">
        <v>51</v>
      </c>
      <c r="D13" s="72" t="s">
        <v>52</v>
      </c>
      <c r="E13" s="72"/>
      <c r="F13" s="73"/>
      <c r="G13" s="73"/>
      <c r="H13" s="73" t="s">
        <v>53</v>
      </c>
      <c r="I13" s="72" t="s">
        <v>21</v>
      </c>
      <c r="J13" s="73">
        <v>11.04</v>
      </c>
      <c r="K13" s="62">
        <f t="shared" si="3"/>
        <v>1</v>
      </c>
      <c r="L13" s="63" t="str">
        <f t="shared" si="1"/>
        <v>Lower Perk 1</v>
      </c>
      <c r="M13" s="63"/>
      <c r="N13" s="61" t="str">
        <f t="shared" si="2"/>
        <v>Manager 03</v>
      </c>
      <c r="O13" s="61">
        <f t="shared" si="2"/>
        <v>0</v>
      </c>
      <c r="P13" s="63" t="str">
        <f t="shared" si="4"/>
        <v>LP-Palmer Park</v>
      </c>
      <c r="Q13" s="44"/>
      <c r="R13" s="44"/>
    </row>
    <row r="14" spans="1:18" x14ac:dyDescent="0.4">
      <c r="A14" s="44"/>
      <c r="B14" s="61">
        <v>4</v>
      </c>
      <c r="C14" s="71" t="s">
        <v>54</v>
      </c>
      <c r="D14" s="72" t="s">
        <v>55</v>
      </c>
      <c r="E14" s="72"/>
      <c r="F14" s="73"/>
      <c r="G14" s="73"/>
      <c r="H14" s="73" t="s">
        <v>56</v>
      </c>
      <c r="I14" s="72"/>
      <c r="J14" s="73">
        <v>12.08</v>
      </c>
      <c r="K14" s="62">
        <f t="shared" si="3"/>
        <v>3</v>
      </c>
      <c r="L14" s="63" t="str">
        <f t="shared" si="1"/>
        <v>Lower Perk 2</v>
      </c>
      <c r="M14" s="63"/>
      <c r="N14" s="61" t="str">
        <f t="shared" si="2"/>
        <v>Manager 04</v>
      </c>
      <c r="O14" s="61">
        <f t="shared" si="2"/>
        <v>0</v>
      </c>
      <c r="P14" s="63" t="str">
        <f t="shared" si="4"/>
        <v/>
      </c>
      <c r="Q14" s="44"/>
      <c r="R14" s="44"/>
    </row>
    <row r="15" spans="1:18" x14ac:dyDescent="0.4">
      <c r="A15" s="44"/>
      <c r="B15" s="61">
        <v>5</v>
      </c>
      <c r="C15" s="71" t="s">
        <v>57</v>
      </c>
      <c r="D15" s="72" t="s">
        <v>58</v>
      </c>
      <c r="E15" s="72"/>
      <c r="F15" s="73"/>
      <c r="G15" s="73"/>
      <c r="H15" s="73" t="s">
        <v>59</v>
      </c>
      <c r="I15" s="72" t="s">
        <v>18</v>
      </c>
      <c r="J15" s="73">
        <v>14.07</v>
      </c>
      <c r="K15" s="62">
        <f t="shared" si="3"/>
        <v>6</v>
      </c>
      <c r="L15" s="63" t="str">
        <f t="shared" si="1"/>
        <v>Pottsgrove-Pottstown 1</v>
      </c>
      <c r="M15" s="63"/>
      <c r="N15" s="61" t="str">
        <f t="shared" si="2"/>
        <v>Manager 05</v>
      </c>
      <c r="O15" s="61">
        <f t="shared" si="2"/>
        <v>0</v>
      </c>
      <c r="P15" s="63" t="str">
        <f t="shared" si="4"/>
        <v>PGP-Novak Park</v>
      </c>
      <c r="Q15" s="44"/>
      <c r="R15" s="44"/>
    </row>
    <row r="16" spans="1:18" x14ac:dyDescent="0.4">
      <c r="A16" s="44"/>
      <c r="B16" s="61">
        <v>6</v>
      </c>
      <c r="C16" s="71" t="s">
        <v>60</v>
      </c>
      <c r="D16" s="72" t="s">
        <v>61</v>
      </c>
      <c r="E16" s="72"/>
      <c r="F16" s="73"/>
      <c r="G16" s="73"/>
      <c r="H16" s="73" t="s">
        <v>62</v>
      </c>
      <c r="I16" s="72"/>
      <c r="J16" s="73">
        <v>14.06</v>
      </c>
      <c r="K16" s="62">
        <f t="shared" si="3"/>
        <v>5</v>
      </c>
      <c r="L16" s="63" t="str">
        <f t="shared" si="1"/>
        <v>Pottsgrove-Pottstown 2</v>
      </c>
      <c r="M16" s="63"/>
      <c r="N16" s="61" t="str">
        <f t="shared" si="2"/>
        <v>Manager 06</v>
      </c>
      <c r="O16" s="61">
        <f t="shared" si="2"/>
        <v>0</v>
      </c>
      <c r="P16" s="63" t="str">
        <f t="shared" si="4"/>
        <v/>
      </c>
      <c r="Q16" s="44"/>
      <c r="R16" s="44"/>
    </row>
    <row r="17" spans="2:16" s="44" customFormat="1" x14ac:dyDescent="0.4">
      <c r="B17" s="45"/>
      <c r="C17" s="64"/>
      <c r="D17" s="65"/>
      <c r="E17" s="65"/>
      <c r="F17" s="66"/>
      <c r="G17" s="66"/>
      <c r="H17" s="66"/>
      <c r="I17" s="65"/>
      <c r="J17" s="66"/>
      <c r="K17" s="66"/>
      <c r="L17" s="52"/>
      <c r="M17" s="63" t="str">
        <f>_xlfn.CONCAT($H17,$C$22)</f>
        <v>-D27-BB-BJ</v>
      </c>
      <c r="N17" s="45"/>
      <c r="O17" s="45"/>
      <c r="P17" s="52"/>
    </row>
    <row r="18" spans="2:16" s="44" customFormat="1" x14ac:dyDescent="0.4">
      <c r="B18" s="45"/>
      <c r="C18" s="64"/>
      <c r="D18" s="65"/>
      <c r="E18" s="65"/>
      <c r="F18" s="66"/>
      <c r="G18" s="66"/>
      <c r="H18" s="66"/>
      <c r="I18" s="65"/>
      <c r="J18" s="66"/>
      <c r="K18" s="66"/>
      <c r="L18" s="52"/>
      <c r="M18" s="52"/>
      <c r="N18" s="45"/>
      <c r="O18" s="45"/>
      <c r="P18" s="52"/>
    </row>
    <row r="19" spans="2:16" s="44" customFormat="1" x14ac:dyDescent="0.4">
      <c r="B19" s="45"/>
      <c r="C19" s="64"/>
      <c r="D19" s="65"/>
      <c r="E19" s="65"/>
      <c r="F19" s="66"/>
      <c r="G19" s="66"/>
      <c r="H19" s="66"/>
      <c r="I19" s="65"/>
      <c r="J19" s="66"/>
      <c r="K19" s="66"/>
      <c r="L19" s="52"/>
      <c r="M19" s="52"/>
      <c r="N19" s="45"/>
      <c r="O19" s="45"/>
      <c r="P19" s="52"/>
    </row>
    <row r="20" spans="2:16" s="44" customFormat="1" x14ac:dyDescent="0.4">
      <c r="H20" s="67"/>
    </row>
    <row r="21" spans="2:16" s="44" customFormat="1" x14ac:dyDescent="0.4">
      <c r="H21" s="67"/>
    </row>
    <row r="22" spans="2:16" s="44" customFormat="1" x14ac:dyDescent="0.4">
      <c r="C22" s="68" t="s">
        <v>63</v>
      </c>
      <c r="D22" s="69" t="s">
        <v>64</v>
      </c>
      <c r="H22" s="67"/>
    </row>
    <row r="23" spans="2:16" s="44" customFormat="1" x14ac:dyDescent="0.4">
      <c r="C23" s="68" t="s">
        <v>65</v>
      </c>
      <c r="D23" s="69" t="s">
        <v>66</v>
      </c>
      <c r="H23" s="67"/>
    </row>
  </sheetData>
  <mergeCells count="1">
    <mergeCell ref="G1:K1"/>
  </mergeCells>
  <conditionalFormatting sqref="N2:N6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Jeff Bennett</cp:lastModifiedBy>
  <cp:lastPrinted>2025-06-17T04:52:16Z</cp:lastPrinted>
  <dcterms:created xsi:type="dcterms:W3CDTF">2025-05-25T07:38:23Z</dcterms:created>
  <dcterms:modified xsi:type="dcterms:W3CDTF">2025-06-17T04:52:23Z</dcterms:modified>
</cp:coreProperties>
</file>