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Removable Disk\JB_Flash_Drive\Jeff\ELL_2025\PA_Dist_27\All-Stars\Schedules\Special Games\Completed\"/>
    </mc:Choice>
  </mc:AlternateContent>
  <xr:revisionPtr revIDLastSave="0" documentId="13_ncr:1_{11AA8E24-F82B-430A-980C-4A0AFEAD5AFF}" xr6:coauthVersionLast="47" xr6:coauthVersionMax="47" xr10:uidLastSave="{00000000-0000-0000-0000-000000000000}"/>
  <bookViews>
    <workbookView xWindow="47880" yWindow="-120" windowWidth="29040" windowHeight="15720" activeTab="1" xr2:uid="{413D4CB4-E6E1-4DEB-9D50-F8844CBD7B9C}"/>
  </bookViews>
  <sheets>
    <sheet name="SCHEDULE" sheetId="1" r:id="rId1"/>
    <sheet name="BRACKET" sheetId="2" r:id="rId2"/>
    <sheet name="D27" sheetId="3" state="hidden" r:id="rId3"/>
    <sheet name="GC Schedule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4" l="1"/>
  <c r="B32" i="4"/>
  <c r="A32" i="4"/>
  <c r="E31" i="4"/>
  <c r="B31" i="4"/>
  <c r="A31" i="4"/>
  <c r="E29" i="4"/>
  <c r="B29" i="4"/>
  <c r="A29" i="4"/>
  <c r="E28" i="4"/>
  <c r="B28" i="4"/>
  <c r="A28" i="4"/>
  <c r="E27" i="4"/>
  <c r="B27" i="4"/>
  <c r="A27" i="4"/>
  <c r="E26" i="4"/>
  <c r="B26" i="4"/>
  <c r="A26" i="4"/>
  <c r="E25" i="4"/>
  <c r="B25" i="4"/>
  <c r="A25" i="4"/>
  <c r="B24" i="4"/>
  <c r="A24" i="4"/>
  <c r="E23" i="4"/>
  <c r="B23" i="4"/>
  <c r="A23" i="4"/>
  <c r="B22" i="4"/>
  <c r="A22" i="4"/>
  <c r="E21" i="4"/>
  <c r="B21" i="4"/>
  <c r="A21" i="4"/>
  <c r="E20" i="4"/>
  <c r="B20" i="4"/>
  <c r="A20" i="4"/>
  <c r="E19" i="4"/>
  <c r="B19" i="4"/>
  <c r="A19" i="4"/>
  <c r="E18" i="4"/>
  <c r="B18" i="4"/>
  <c r="A18" i="4"/>
  <c r="E17" i="4"/>
  <c r="B17" i="4"/>
  <c r="A17" i="4"/>
  <c r="E16" i="4"/>
  <c r="B16" i="4"/>
  <c r="A16" i="4"/>
  <c r="E15" i="4"/>
  <c r="B15" i="4"/>
  <c r="A15" i="4"/>
  <c r="E14" i="4"/>
  <c r="B14" i="4"/>
  <c r="A14" i="4"/>
  <c r="E13" i="4"/>
  <c r="B13" i="4"/>
  <c r="A13" i="4"/>
  <c r="E12" i="4"/>
  <c r="B12" i="4"/>
  <c r="A12" i="4"/>
  <c r="E11" i="4"/>
  <c r="B11" i="4"/>
  <c r="A11" i="4"/>
  <c r="E10" i="4"/>
  <c r="B10" i="4"/>
  <c r="A10" i="4"/>
  <c r="E9" i="4"/>
  <c r="D9" i="4"/>
  <c r="C9" i="4"/>
  <c r="B9" i="4"/>
  <c r="A9" i="4"/>
  <c r="E8" i="4"/>
  <c r="D8" i="4"/>
  <c r="C8" i="4"/>
  <c r="B8" i="4"/>
  <c r="A8" i="4"/>
  <c r="E7" i="4"/>
  <c r="D7" i="4"/>
  <c r="C7" i="4"/>
  <c r="B7" i="4"/>
  <c r="A7" i="4"/>
  <c r="E6" i="4"/>
  <c r="D6" i="4"/>
  <c r="C6" i="4"/>
  <c r="B6" i="4"/>
  <c r="A6" i="4"/>
  <c r="E5" i="4"/>
  <c r="D5" i="4"/>
  <c r="C5" i="4"/>
  <c r="B5" i="4"/>
  <c r="A5" i="4"/>
  <c r="E4" i="4"/>
  <c r="D4" i="4"/>
  <c r="C4" i="4"/>
  <c r="B4" i="4"/>
  <c r="A4" i="4"/>
  <c r="E3" i="4"/>
  <c r="D3" i="4"/>
  <c r="C3" i="4"/>
  <c r="B3" i="4"/>
  <c r="A3" i="4"/>
  <c r="E2" i="4"/>
  <c r="D2" i="4"/>
  <c r="C2" i="4"/>
  <c r="T9" i="3"/>
  <c r="S9" i="3"/>
  <c r="T8" i="3"/>
  <c r="S8" i="3"/>
  <c r="T7" i="3"/>
  <c r="S7" i="3"/>
  <c r="T6" i="3"/>
  <c r="S6" i="3"/>
  <c r="T5" i="3"/>
  <c r="S5" i="3"/>
  <c r="T4" i="3"/>
  <c r="S4" i="3"/>
  <c r="T3" i="3"/>
  <c r="S3" i="3"/>
  <c r="T2" i="3"/>
  <c r="S2" i="3"/>
  <c r="B2" i="4"/>
  <c r="A2" i="4"/>
  <c r="B62" i="3"/>
  <c r="G62" i="3"/>
  <c r="F62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M1" i="3"/>
  <c r="G1" i="3"/>
  <c r="I42" i="1" a="1"/>
  <c r="I42" i="1" l="1"/>
  <c r="Q52" i="3"/>
  <c r="O52" i="3"/>
  <c r="N52" i="3"/>
  <c r="M52" i="3"/>
  <c r="L52" i="3"/>
  <c r="K52" i="3"/>
  <c r="Q51" i="3"/>
  <c r="O51" i="3"/>
  <c r="N51" i="3"/>
  <c r="M51" i="3"/>
  <c r="L51" i="3"/>
  <c r="K51" i="3"/>
  <c r="Q50" i="3"/>
  <c r="O50" i="3"/>
  <c r="N50" i="3"/>
  <c r="M50" i="3"/>
  <c r="L50" i="3"/>
  <c r="K50" i="3"/>
  <c r="Q49" i="3"/>
  <c r="O49" i="3"/>
  <c r="N49" i="3"/>
  <c r="M49" i="3"/>
  <c r="L49" i="3"/>
  <c r="K49" i="3"/>
  <c r="Q48" i="3"/>
  <c r="O48" i="3"/>
  <c r="N48" i="3"/>
  <c r="M48" i="3"/>
  <c r="L48" i="3"/>
  <c r="K48" i="3"/>
  <c r="Q47" i="3"/>
  <c r="O47" i="3"/>
  <c r="N47" i="3"/>
  <c r="M47" i="3"/>
  <c r="L47" i="3"/>
  <c r="K47" i="3"/>
  <c r="Q46" i="3"/>
  <c r="O46" i="3"/>
  <c r="N46" i="3"/>
  <c r="M46" i="3"/>
  <c r="L46" i="3"/>
  <c r="K46" i="3"/>
  <c r="Q45" i="3"/>
  <c r="O45" i="3"/>
  <c r="N45" i="3"/>
  <c r="M45" i="3"/>
  <c r="L45" i="3"/>
  <c r="K45" i="3"/>
  <c r="Q44" i="3"/>
  <c r="O44" i="3"/>
  <c r="N44" i="3"/>
  <c r="M44" i="3"/>
  <c r="L44" i="3"/>
  <c r="K44" i="3"/>
  <c r="Q43" i="3"/>
  <c r="O43" i="3"/>
  <c r="N43" i="3"/>
  <c r="M43" i="3"/>
  <c r="L43" i="3"/>
  <c r="K43" i="3"/>
  <c r="Q42" i="3"/>
  <c r="O42" i="3"/>
  <c r="N42" i="3"/>
  <c r="M42" i="3"/>
  <c r="L42" i="3"/>
  <c r="K42" i="3"/>
  <c r="Q41" i="3"/>
  <c r="O41" i="3"/>
  <c r="N41" i="3"/>
  <c r="M41" i="3"/>
  <c r="L41" i="3"/>
  <c r="K41" i="3"/>
  <c r="Q40" i="3"/>
  <c r="O40" i="3"/>
  <c r="N40" i="3"/>
  <c r="M40" i="3"/>
  <c r="L40" i="3"/>
  <c r="K40" i="3"/>
  <c r="Q39" i="3"/>
  <c r="O39" i="3"/>
  <c r="N39" i="3"/>
  <c r="M39" i="3"/>
  <c r="L39" i="3"/>
  <c r="K39" i="3"/>
  <c r="Q38" i="3"/>
  <c r="O38" i="3"/>
  <c r="N38" i="3"/>
  <c r="M38" i="3"/>
  <c r="L38" i="3"/>
  <c r="K38" i="3"/>
  <c r="B38" i="3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Q37" i="3"/>
  <c r="O37" i="3"/>
  <c r="N37" i="3"/>
  <c r="M37" i="3"/>
  <c r="L37" i="3"/>
  <c r="K37" i="3"/>
  <c r="Q36" i="3"/>
  <c r="H62" i="3" s="1"/>
  <c r="O36" i="3"/>
  <c r="E62" i="3" s="1"/>
  <c r="N36" i="3"/>
  <c r="D62" i="3" s="1"/>
  <c r="L36" i="3"/>
  <c r="C62" i="3" s="1"/>
  <c r="Z17" i="1" l="1"/>
  <c r="Z16" i="1"/>
  <c r="Z15" i="1"/>
  <c r="Z14" i="1"/>
  <c r="Z13" i="1"/>
  <c r="Z12" i="1"/>
  <c r="Z11" i="1"/>
  <c r="Z10" i="1"/>
  <c r="Z9" i="1"/>
  <c r="Z8" i="1"/>
  <c r="Z7" i="1"/>
  <c r="Z6" i="1"/>
  <c r="Z4" i="1"/>
  <c r="Z3" i="1"/>
  <c r="Z5" i="1"/>
  <c r="Z2" i="1"/>
  <c r="E75" i="3"/>
  <c r="C77" i="3"/>
  <c r="H74" i="3"/>
  <c r="H72" i="3"/>
  <c r="G70" i="3"/>
  <c r="G68" i="3"/>
  <c r="G66" i="3"/>
  <c r="G64" i="3"/>
  <c r="G78" i="3"/>
  <c r="F72" i="3"/>
  <c r="E68" i="3"/>
  <c r="E64" i="3"/>
  <c r="H67" i="3"/>
  <c r="H78" i="3"/>
  <c r="H76" i="3"/>
  <c r="G74" i="3"/>
  <c r="G72" i="3"/>
  <c r="F70" i="3"/>
  <c r="F68" i="3"/>
  <c r="F66" i="3"/>
  <c r="F64" i="3"/>
  <c r="G76" i="3"/>
  <c r="E70" i="3"/>
  <c r="E66" i="3"/>
  <c r="D76" i="3"/>
  <c r="C72" i="3"/>
  <c r="H69" i="3"/>
  <c r="H65" i="3"/>
  <c r="F74" i="3"/>
  <c r="F78" i="3"/>
  <c r="F76" i="3"/>
  <c r="E74" i="3"/>
  <c r="E72" i="3"/>
  <c r="D70" i="3"/>
  <c r="D68" i="3"/>
  <c r="D66" i="3"/>
  <c r="D64" i="3"/>
  <c r="D72" i="3"/>
  <c r="E78" i="3"/>
  <c r="E76" i="3"/>
  <c r="D74" i="3"/>
  <c r="C70" i="3"/>
  <c r="C68" i="3"/>
  <c r="C66" i="3"/>
  <c r="C64" i="3"/>
  <c r="C74" i="3"/>
  <c r="H63" i="3"/>
  <c r="D78" i="3"/>
  <c r="C78" i="3"/>
  <c r="C76" i="3"/>
  <c r="H73" i="3"/>
  <c r="G71" i="3"/>
  <c r="G69" i="3"/>
  <c r="G67" i="3"/>
  <c r="G65" i="3"/>
  <c r="G63" i="3"/>
  <c r="D75" i="3"/>
  <c r="D73" i="3"/>
  <c r="C71" i="3"/>
  <c r="C69" i="3"/>
  <c r="C63" i="3"/>
  <c r="H77" i="3"/>
  <c r="H75" i="3"/>
  <c r="G73" i="3"/>
  <c r="F71" i="3"/>
  <c r="F69" i="3"/>
  <c r="F67" i="3"/>
  <c r="F65" i="3"/>
  <c r="F63" i="3"/>
  <c r="E77" i="3"/>
  <c r="C65" i="3"/>
  <c r="D77" i="3"/>
  <c r="C73" i="3"/>
  <c r="H68" i="3"/>
  <c r="H64" i="3"/>
  <c r="G77" i="3"/>
  <c r="G75" i="3"/>
  <c r="F73" i="3"/>
  <c r="E71" i="3"/>
  <c r="E69" i="3"/>
  <c r="E67" i="3"/>
  <c r="E65" i="3"/>
  <c r="E63" i="3"/>
  <c r="C67" i="3"/>
  <c r="C75" i="3"/>
  <c r="H70" i="3"/>
  <c r="H66" i="3"/>
  <c r="F77" i="3"/>
  <c r="F75" i="3"/>
  <c r="E73" i="3"/>
  <c r="D71" i="3"/>
  <c r="D69" i="3"/>
  <c r="D67" i="3"/>
  <c r="D65" i="3"/>
  <c r="D63" i="3"/>
  <c r="H71" i="3"/>
  <c r="P42" i="1"/>
  <c r="P40" i="1"/>
  <c r="P38" i="1"/>
  <c r="P36" i="1"/>
  <c r="P34" i="1"/>
  <c r="P32" i="1"/>
  <c r="P31" i="1"/>
  <c r="P29" i="1"/>
  <c r="P28" i="1"/>
  <c r="P27" i="1"/>
  <c r="P26" i="1"/>
  <c r="P24" i="1"/>
  <c r="P23" i="1"/>
  <c r="P22" i="1"/>
  <c r="P21" i="1"/>
  <c r="P19" i="1"/>
  <c r="P18" i="1"/>
  <c r="P17" i="1"/>
  <c r="P16" i="1"/>
  <c r="P14" i="1"/>
  <c r="P13" i="1"/>
  <c r="P12" i="1"/>
  <c r="P11" i="1"/>
  <c r="P9" i="1"/>
  <c r="P8" i="1"/>
  <c r="P7" i="1"/>
  <c r="P6" i="1"/>
  <c r="P5" i="1"/>
  <c r="P4" i="1"/>
  <c r="P3" i="1"/>
  <c r="P2" i="1"/>
  <c r="M32" i="3"/>
  <c r="L32" i="3"/>
  <c r="K32" i="3"/>
  <c r="I32" i="3"/>
  <c r="H32" i="3"/>
  <c r="E32" i="3"/>
  <c r="D32" i="3"/>
  <c r="B32" i="3"/>
  <c r="A32" i="3" s="1"/>
  <c r="M31" i="3"/>
  <c r="L31" i="3"/>
  <c r="K31" i="3"/>
  <c r="I31" i="3"/>
  <c r="H31" i="3"/>
  <c r="E31" i="3"/>
  <c r="D31" i="3"/>
  <c r="B31" i="3"/>
  <c r="A31" i="3" s="1"/>
  <c r="M30" i="3"/>
  <c r="L30" i="3"/>
  <c r="E30" i="4" s="1"/>
  <c r="K30" i="3"/>
  <c r="I30" i="3"/>
  <c r="H30" i="3"/>
  <c r="E30" i="3"/>
  <c r="B30" i="4" s="1"/>
  <c r="D30" i="3"/>
  <c r="A30" i="4" s="1"/>
  <c r="B30" i="3"/>
  <c r="A30" i="3" s="1"/>
  <c r="M29" i="3"/>
  <c r="L29" i="3"/>
  <c r="K29" i="3"/>
  <c r="I29" i="3"/>
  <c r="H29" i="3"/>
  <c r="E29" i="3"/>
  <c r="D29" i="3"/>
  <c r="B29" i="3"/>
  <c r="A29" i="3" s="1"/>
  <c r="M28" i="3"/>
  <c r="L28" i="3"/>
  <c r="K28" i="3"/>
  <c r="I28" i="3"/>
  <c r="H28" i="3"/>
  <c r="E28" i="3"/>
  <c r="D28" i="3"/>
  <c r="B28" i="3"/>
  <c r="A28" i="3" s="1"/>
  <c r="M27" i="3"/>
  <c r="L27" i="3"/>
  <c r="K27" i="3"/>
  <c r="I27" i="3"/>
  <c r="H27" i="3"/>
  <c r="E27" i="3"/>
  <c r="D27" i="3"/>
  <c r="B27" i="3"/>
  <c r="A27" i="3" s="1"/>
  <c r="M26" i="3"/>
  <c r="L26" i="3"/>
  <c r="K26" i="3"/>
  <c r="I26" i="3"/>
  <c r="H26" i="3"/>
  <c r="E26" i="3"/>
  <c r="D26" i="3"/>
  <c r="B26" i="3"/>
  <c r="A26" i="3" s="1"/>
  <c r="M25" i="3"/>
  <c r="L25" i="3"/>
  <c r="K25" i="3"/>
  <c r="I25" i="3"/>
  <c r="H25" i="3"/>
  <c r="E25" i="3"/>
  <c r="D25" i="3"/>
  <c r="B25" i="3"/>
  <c r="A25" i="3" s="1"/>
  <c r="M24" i="3"/>
  <c r="L24" i="3"/>
  <c r="E24" i="4" s="1"/>
  <c r="K24" i="3"/>
  <c r="I24" i="3"/>
  <c r="H24" i="3"/>
  <c r="E24" i="3"/>
  <c r="D24" i="3"/>
  <c r="B24" i="3"/>
  <c r="A24" i="3" s="1"/>
  <c r="M23" i="3"/>
  <c r="L23" i="3"/>
  <c r="K23" i="3"/>
  <c r="I23" i="3"/>
  <c r="H23" i="3"/>
  <c r="E23" i="3"/>
  <c r="D23" i="3"/>
  <c r="B23" i="3"/>
  <c r="A23" i="3" s="1"/>
  <c r="M22" i="3"/>
  <c r="L22" i="3"/>
  <c r="E22" i="4" s="1"/>
  <c r="K22" i="3"/>
  <c r="I22" i="3"/>
  <c r="H22" i="3"/>
  <c r="E22" i="3"/>
  <c r="D22" i="3"/>
  <c r="B22" i="3"/>
  <c r="A22" i="3" s="1"/>
  <c r="M21" i="3"/>
  <c r="L21" i="3"/>
  <c r="K21" i="3"/>
  <c r="I21" i="3"/>
  <c r="H21" i="3"/>
  <c r="E21" i="3"/>
  <c r="D21" i="3"/>
  <c r="B21" i="3"/>
  <c r="A21" i="3" s="1"/>
  <c r="M20" i="3"/>
  <c r="L20" i="3"/>
  <c r="K20" i="3"/>
  <c r="I20" i="3"/>
  <c r="H20" i="3"/>
  <c r="E20" i="3"/>
  <c r="D20" i="3"/>
  <c r="B20" i="3"/>
  <c r="A20" i="3" s="1"/>
  <c r="M19" i="3"/>
  <c r="L19" i="3"/>
  <c r="K19" i="3"/>
  <c r="I19" i="3"/>
  <c r="H19" i="3"/>
  <c r="E19" i="3"/>
  <c r="D19" i="3"/>
  <c r="B19" i="3"/>
  <c r="A19" i="3" s="1"/>
  <c r="M18" i="3"/>
  <c r="L18" i="3"/>
  <c r="K18" i="3"/>
  <c r="I18" i="3"/>
  <c r="H18" i="3"/>
  <c r="E18" i="3"/>
  <c r="D18" i="3"/>
  <c r="B18" i="3"/>
  <c r="A18" i="3" s="1"/>
  <c r="M17" i="3"/>
  <c r="L17" i="3"/>
  <c r="K17" i="3"/>
  <c r="I17" i="3"/>
  <c r="H17" i="3"/>
  <c r="E17" i="3"/>
  <c r="D17" i="3"/>
  <c r="B17" i="3"/>
  <c r="A17" i="3" s="1"/>
  <c r="M16" i="3"/>
  <c r="L16" i="3"/>
  <c r="K16" i="3"/>
  <c r="I16" i="3"/>
  <c r="H16" i="3"/>
  <c r="E16" i="3"/>
  <c r="D16" i="3"/>
  <c r="B16" i="3"/>
  <c r="A16" i="3" s="1"/>
  <c r="M15" i="3"/>
  <c r="L15" i="3"/>
  <c r="K15" i="3"/>
  <c r="I15" i="3"/>
  <c r="H15" i="3"/>
  <c r="E15" i="3"/>
  <c r="D15" i="3"/>
  <c r="B15" i="3"/>
  <c r="A15" i="3" s="1"/>
  <c r="M14" i="3"/>
  <c r="L14" i="3"/>
  <c r="K14" i="3"/>
  <c r="I14" i="3"/>
  <c r="H14" i="3"/>
  <c r="E14" i="3"/>
  <c r="D14" i="3"/>
  <c r="B14" i="3"/>
  <c r="A14" i="3" s="1"/>
  <c r="M13" i="3"/>
  <c r="L13" i="3"/>
  <c r="K13" i="3"/>
  <c r="I13" i="3"/>
  <c r="H13" i="3"/>
  <c r="E13" i="3"/>
  <c r="D13" i="3"/>
  <c r="B13" i="3"/>
  <c r="A13" i="3" s="1"/>
  <c r="M12" i="3"/>
  <c r="L12" i="3"/>
  <c r="K12" i="3"/>
  <c r="I12" i="3"/>
  <c r="H12" i="3"/>
  <c r="E12" i="3"/>
  <c r="D12" i="3"/>
  <c r="B12" i="3"/>
  <c r="A12" i="3" s="1"/>
  <c r="M11" i="3"/>
  <c r="L11" i="3"/>
  <c r="K11" i="3"/>
  <c r="I11" i="3"/>
  <c r="H11" i="3"/>
  <c r="E11" i="3"/>
  <c r="D11" i="3"/>
  <c r="B11" i="3"/>
  <c r="A11" i="3" s="1"/>
  <c r="M10" i="3"/>
  <c r="L10" i="3"/>
  <c r="K10" i="3"/>
  <c r="I10" i="3"/>
  <c r="H10" i="3"/>
  <c r="E10" i="3"/>
  <c r="D10" i="3"/>
  <c r="B10" i="3"/>
  <c r="A10" i="3" s="1"/>
  <c r="M9" i="3"/>
  <c r="L9" i="3"/>
  <c r="K9" i="3"/>
  <c r="I9" i="3"/>
  <c r="H9" i="3"/>
  <c r="E9" i="3"/>
  <c r="D9" i="3"/>
  <c r="B9" i="3"/>
  <c r="A9" i="3" s="1"/>
  <c r="M8" i="3"/>
  <c r="L8" i="3"/>
  <c r="K8" i="3"/>
  <c r="I8" i="3"/>
  <c r="H8" i="3"/>
  <c r="E8" i="3"/>
  <c r="D8" i="3"/>
  <c r="B8" i="3"/>
  <c r="A8" i="3" s="1"/>
  <c r="M7" i="3"/>
  <c r="L7" i="3"/>
  <c r="K7" i="3"/>
  <c r="I7" i="3"/>
  <c r="H7" i="3"/>
  <c r="E7" i="3"/>
  <c r="D7" i="3"/>
  <c r="B7" i="3"/>
  <c r="A7" i="3" s="1"/>
  <c r="M6" i="3"/>
  <c r="L6" i="3"/>
  <c r="K6" i="3"/>
  <c r="I6" i="3"/>
  <c r="H6" i="3"/>
  <c r="E6" i="3"/>
  <c r="D6" i="3"/>
  <c r="B6" i="3"/>
  <c r="A6" i="3" s="1"/>
  <c r="M5" i="3"/>
  <c r="L5" i="3"/>
  <c r="K5" i="3"/>
  <c r="I5" i="3"/>
  <c r="H5" i="3"/>
  <c r="E5" i="3"/>
  <c r="D5" i="3"/>
  <c r="B5" i="3"/>
  <c r="A5" i="3" s="1"/>
  <c r="M4" i="3"/>
  <c r="L4" i="3"/>
  <c r="K4" i="3"/>
  <c r="I4" i="3"/>
  <c r="H4" i="3"/>
  <c r="E4" i="3"/>
  <c r="D4" i="3"/>
  <c r="B4" i="3"/>
  <c r="A4" i="3" s="1"/>
  <c r="M3" i="3"/>
  <c r="L3" i="3"/>
  <c r="K3" i="3"/>
  <c r="I3" i="3"/>
  <c r="H3" i="3"/>
  <c r="E3" i="3"/>
  <c r="D3" i="3"/>
  <c r="B3" i="3"/>
  <c r="A3" i="3" s="1"/>
  <c r="M2" i="3"/>
  <c r="L2" i="3"/>
  <c r="K2" i="3"/>
  <c r="I2" i="3"/>
  <c r="H2" i="3"/>
  <c r="E2" i="3"/>
  <c r="D2" i="3"/>
  <c r="B2" i="3"/>
  <c r="A2" i="3" s="1"/>
  <c r="L1" i="3"/>
  <c r="E1" i="3"/>
  <c r="D1" i="3"/>
  <c r="C1" i="3"/>
  <c r="B1" i="3"/>
  <c r="W26" i="1"/>
  <c r="C67" i="2"/>
  <c r="F40" i="2"/>
  <c r="H34" i="2"/>
  <c r="G21" i="2"/>
  <c r="E47" i="2"/>
  <c r="D62" i="2"/>
  <c r="D42" i="2"/>
  <c r="D11" i="2"/>
  <c r="C47" i="2"/>
  <c r="C26" i="2"/>
  <c r="C6" i="2"/>
  <c r="B75" i="2"/>
  <c r="B65" i="2"/>
  <c r="B55" i="2"/>
  <c r="B45" i="2"/>
  <c r="B34" i="2"/>
  <c r="B24" i="2"/>
  <c r="B14" i="2"/>
  <c r="B4" i="2"/>
  <c r="A74" i="2"/>
  <c r="A69" i="2"/>
  <c r="A54" i="2"/>
  <c r="A49" i="2"/>
  <c r="B40" i="1" l="1"/>
  <c r="C31" i="3" s="1"/>
  <c r="B38" i="1"/>
  <c r="C30" i="3" s="1"/>
  <c r="B36" i="1"/>
  <c r="C29" i="3" s="1"/>
  <c r="B34" i="1"/>
  <c r="C28" i="3" s="1"/>
  <c r="B32" i="1"/>
  <c r="C27" i="3" s="1"/>
  <c r="B31" i="1"/>
  <c r="C26" i="3" s="1"/>
  <c r="B29" i="1"/>
  <c r="C25" i="3" s="1"/>
  <c r="B28" i="1"/>
  <c r="C24" i="3" s="1"/>
  <c r="B27" i="1"/>
  <c r="C23" i="3" s="1"/>
  <c r="B26" i="1"/>
  <c r="C22" i="3" s="1"/>
  <c r="B24" i="1"/>
  <c r="C21" i="3" s="1"/>
  <c r="B23" i="1"/>
  <c r="C20" i="3" s="1"/>
  <c r="B22" i="1"/>
  <c r="C19" i="3" s="1"/>
  <c r="B21" i="1"/>
  <c r="C18" i="3" s="1"/>
  <c r="B19" i="1"/>
  <c r="C17" i="3" s="1"/>
  <c r="B18" i="1"/>
  <c r="C16" i="3" s="1"/>
  <c r="B17" i="1"/>
  <c r="C15" i="3" s="1"/>
  <c r="B16" i="1"/>
  <c r="C14" i="3" s="1"/>
  <c r="B14" i="1"/>
  <c r="C13" i="3" s="1"/>
  <c r="B13" i="1"/>
  <c r="C12" i="3" s="1"/>
  <c r="B12" i="1"/>
  <c r="C11" i="3" s="1"/>
  <c r="B11" i="1"/>
  <c r="C10" i="3" s="1"/>
  <c r="A38" i="2"/>
  <c r="A33" i="2"/>
  <c r="A28" i="2"/>
  <c r="A23" i="2"/>
  <c r="A18" i="2"/>
  <c r="A13" i="2"/>
  <c r="A8" i="2"/>
  <c r="A3" i="2"/>
  <c r="AA20" i="1"/>
  <c r="AA19" i="1"/>
  <c r="AA18" i="1"/>
  <c r="Y26" i="1" l="1"/>
  <c r="Z26" i="1"/>
  <c r="B42" i="1" l="1"/>
  <c r="C32" i="3" s="1"/>
  <c r="B9" i="1"/>
  <c r="C9" i="3" s="1"/>
  <c r="B8" i="1"/>
  <c r="C8" i="3" s="1"/>
  <c r="B7" i="1"/>
  <c r="C7" i="3" s="1"/>
  <c r="B6" i="1"/>
  <c r="C6" i="3" s="1"/>
  <c r="B5" i="1"/>
  <c r="C5" i="3" s="1"/>
  <c r="B4" i="1"/>
  <c r="C4" i="3" s="1"/>
  <c r="W3" i="1"/>
  <c r="W27" i="1" s="1"/>
  <c r="B3" i="1"/>
  <c r="C3" i="3" s="1"/>
  <c r="B2" i="1"/>
  <c r="C2" i="3" s="1"/>
  <c r="Z27" i="1" l="1"/>
  <c r="Y27" i="1"/>
  <c r="X27" i="1"/>
  <c r="AA3" i="1"/>
  <c r="W4" i="1"/>
  <c r="W28" i="1" s="1"/>
  <c r="X3" i="1"/>
  <c r="R3" i="1" s="1"/>
  <c r="Y3" i="1"/>
  <c r="AA2" i="1"/>
  <c r="X2" i="1"/>
  <c r="X26" i="1" s="1"/>
  <c r="Y2" i="1"/>
  <c r="F3" i="1" l="1"/>
  <c r="Y28" i="1"/>
  <c r="X28" i="1"/>
  <c r="AA4" i="1"/>
  <c r="R2" i="1"/>
  <c r="W5" i="1"/>
  <c r="W29" i="1" s="1"/>
  <c r="X4" i="1"/>
  <c r="R4" i="1" s="1"/>
  <c r="Y4" i="1"/>
  <c r="I11" i="1" a="1"/>
  <c r="I11" i="1" l="1"/>
  <c r="G3" i="3"/>
  <c r="A7" i="2"/>
  <c r="F4" i="1"/>
  <c r="F2" i="1"/>
  <c r="Z29" i="1"/>
  <c r="Y29" i="1"/>
  <c r="X29" i="1"/>
  <c r="AA5" i="1"/>
  <c r="W6" i="1"/>
  <c r="W30" i="1" s="1"/>
  <c r="X5" i="1"/>
  <c r="R5" i="1" s="1"/>
  <c r="Y5" i="1"/>
  <c r="F12" i="1" a="1"/>
  <c r="F11" i="1" a="1"/>
  <c r="F11" i="1" l="1"/>
  <c r="F12" i="1"/>
  <c r="A51" i="2"/>
  <c r="J10" i="3"/>
  <c r="T10" i="3" s="1"/>
  <c r="D10" i="4" s="1"/>
  <c r="G2" i="3"/>
  <c r="A2" i="2"/>
  <c r="G4" i="3"/>
  <c r="A12" i="2"/>
  <c r="F5" i="1"/>
  <c r="Y30" i="1"/>
  <c r="Z30" i="1"/>
  <c r="X30" i="1"/>
  <c r="AA6" i="1"/>
  <c r="W7" i="1"/>
  <c r="W31" i="1" s="1"/>
  <c r="X6" i="1"/>
  <c r="R6" i="1" s="1"/>
  <c r="Y6" i="1"/>
  <c r="I12" i="1" a="1"/>
  <c r="I21" i="1" a="1"/>
  <c r="I12" i="1" l="1"/>
  <c r="I21" i="1"/>
  <c r="A53" i="2"/>
  <c r="G11" i="3"/>
  <c r="S11" i="3" s="1"/>
  <c r="C11" i="4" s="1"/>
  <c r="A48" i="2"/>
  <c r="G10" i="3"/>
  <c r="S10" i="3" s="1"/>
  <c r="C10" i="4" s="1"/>
  <c r="G5" i="3"/>
  <c r="A17" i="2"/>
  <c r="F6" i="1"/>
  <c r="Z31" i="1"/>
  <c r="Y31" i="1"/>
  <c r="X31" i="1"/>
  <c r="AA7" i="1"/>
  <c r="W8" i="1"/>
  <c r="W32" i="1" s="1"/>
  <c r="X7" i="1"/>
  <c r="R7" i="1" s="1"/>
  <c r="Y7" i="1"/>
  <c r="F22" i="1" a="1"/>
  <c r="F18" i="1" a="1"/>
  <c r="F18" i="1" l="1"/>
  <c r="F22" i="1"/>
  <c r="B50" i="2"/>
  <c r="J18" i="3"/>
  <c r="T18" i="3" s="1"/>
  <c r="A56" i="2"/>
  <c r="J11" i="3"/>
  <c r="T11" i="3" s="1"/>
  <c r="D11" i="4" s="1"/>
  <c r="G6" i="3"/>
  <c r="A22" i="2"/>
  <c r="F7" i="1"/>
  <c r="Z32" i="1"/>
  <c r="Y32" i="1"/>
  <c r="X32" i="1"/>
  <c r="AA8" i="1"/>
  <c r="W9" i="1"/>
  <c r="W33" i="1" s="1"/>
  <c r="Y8" i="1"/>
  <c r="X8" i="1"/>
  <c r="R8" i="1" s="1"/>
  <c r="I13" i="1" a="1"/>
  <c r="I22" i="1" a="1"/>
  <c r="D18" i="4" l="1"/>
  <c r="I13" i="1"/>
  <c r="I22" i="1"/>
  <c r="B54" i="2"/>
  <c r="G19" i="3"/>
  <c r="S19" i="3" s="1"/>
  <c r="B23" i="2"/>
  <c r="G16" i="3"/>
  <c r="S16" i="3" s="1"/>
  <c r="G7" i="3"/>
  <c r="A27" i="2"/>
  <c r="F8" i="1"/>
  <c r="Z33" i="1"/>
  <c r="X33" i="1"/>
  <c r="Y33" i="1"/>
  <c r="AA9" i="1"/>
  <c r="W10" i="1"/>
  <c r="W34" i="1" s="1"/>
  <c r="X9" i="1"/>
  <c r="R9" i="1" s="1"/>
  <c r="Y9" i="1"/>
  <c r="F19" i="1" a="1"/>
  <c r="I28" i="1" a="1"/>
  <c r="I23" i="1" a="1"/>
  <c r="I28" i="1" l="1"/>
  <c r="C58" i="2" s="1"/>
  <c r="C16" i="4"/>
  <c r="C19" i="4"/>
  <c r="F19" i="1"/>
  <c r="I23" i="1"/>
  <c r="A32" i="2"/>
  <c r="B60" i="2"/>
  <c r="J19" i="3"/>
  <c r="T19" i="3" s="1"/>
  <c r="A71" i="2"/>
  <c r="J12" i="3"/>
  <c r="T12" i="3" s="1"/>
  <c r="D12" i="4" s="1"/>
  <c r="G8" i="3"/>
  <c r="F9" i="1"/>
  <c r="Z34" i="1"/>
  <c r="Y34" i="1"/>
  <c r="X34" i="1"/>
  <c r="AA10" i="1"/>
  <c r="W11" i="1"/>
  <c r="W35" i="1" s="1"/>
  <c r="Y10" i="1"/>
  <c r="X10" i="1"/>
  <c r="U2" i="1" s="1"/>
  <c r="I2" i="1" s="1"/>
  <c r="I14" i="1" a="1"/>
  <c r="F21" i="1" a="1"/>
  <c r="F16" i="1" a="1"/>
  <c r="J24" i="3" l="1"/>
  <c r="T24" i="3" s="1"/>
  <c r="D24" i="4" s="1"/>
  <c r="D19" i="4"/>
  <c r="F16" i="1"/>
  <c r="I14" i="1"/>
  <c r="F21" i="1"/>
  <c r="A37" i="2"/>
  <c r="B70" i="2"/>
  <c r="J20" i="3"/>
  <c r="T20" i="3" s="1"/>
  <c r="B33" i="2"/>
  <c r="G17" i="3"/>
  <c r="S17" i="3" s="1"/>
  <c r="G9" i="3"/>
  <c r="J2" i="3"/>
  <c r="A5" i="2"/>
  <c r="X35" i="1"/>
  <c r="Z35" i="1"/>
  <c r="Y35" i="1"/>
  <c r="AA11" i="1"/>
  <c r="W12" i="1"/>
  <c r="W36" i="1" s="1"/>
  <c r="Y11" i="1"/>
  <c r="X11" i="1"/>
  <c r="U3" i="1" s="1"/>
  <c r="I3" i="1" s="1"/>
  <c r="I16" i="1" a="1"/>
  <c r="F28" i="1" a="1"/>
  <c r="F26" i="1" a="1"/>
  <c r="F24" i="1" a="1"/>
  <c r="F28" i="1" l="1"/>
  <c r="C17" i="4"/>
  <c r="D20" i="4"/>
  <c r="I16" i="1"/>
  <c r="F24" i="1"/>
  <c r="F26" i="1"/>
  <c r="A10" i="2"/>
  <c r="B44" i="2"/>
  <c r="G18" i="3"/>
  <c r="S18" i="3" s="1"/>
  <c r="A76" i="2"/>
  <c r="J13" i="3"/>
  <c r="T13" i="3" s="1"/>
  <c r="D13" i="4" s="1"/>
  <c r="B3" i="2"/>
  <c r="G14" i="3"/>
  <c r="S14" i="3" s="1"/>
  <c r="C14" i="4" s="1"/>
  <c r="Z36" i="1"/>
  <c r="Y36" i="1"/>
  <c r="X36" i="1"/>
  <c r="J3" i="3"/>
  <c r="AA12" i="1"/>
  <c r="W13" i="1"/>
  <c r="W37" i="1" s="1"/>
  <c r="X12" i="1"/>
  <c r="U4" i="1" s="1"/>
  <c r="I4" i="1" s="1"/>
  <c r="Y12" i="1"/>
  <c r="F17" i="1" a="1"/>
  <c r="I32" i="1" a="1"/>
  <c r="I24" i="1" a="1"/>
  <c r="I32" i="1" l="1"/>
  <c r="C46" i="2"/>
  <c r="G24" i="3"/>
  <c r="S24" i="3" s="1"/>
  <c r="C24" i="4" s="1"/>
  <c r="C18" i="4"/>
  <c r="F17" i="1"/>
  <c r="I24" i="1"/>
  <c r="A15" i="2"/>
  <c r="C5" i="2"/>
  <c r="G22" i="3"/>
  <c r="S22" i="3" s="1"/>
  <c r="B74" i="2"/>
  <c r="G21" i="3"/>
  <c r="S21" i="3" s="1"/>
  <c r="B9" i="2"/>
  <c r="J14" i="3"/>
  <c r="T14" i="3" s="1"/>
  <c r="D14" i="4" s="1"/>
  <c r="Y37" i="1"/>
  <c r="Z37" i="1"/>
  <c r="X37" i="1"/>
  <c r="J4" i="3"/>
  <c r="AA13" i="1"/>
  <c r="W14" i="1"/>
  <c r="W38" i="1" s="1"/>
  <c r="Y13" i="1"/>
  <c r="X13" i="1"/>
  <c r="U5" i="1" s="1"/>
  <c r="I5" i="1" s="1"/>
  <c r="I17" i="1" a="1"/>
  <c r="I29" i="1" a="1"/>
  <c r="I26" i="1" a="1"/>
  <c r="D53" i="2" l="1"/>
  <c r="J27" i="3"/>
  <c r="T27" i="3" s="1"/>
  <c r="D27" i="4" s="1"/>
  <c r="I29" i="1"/>
  <c r="C78" i="2" s="1"/>
  <c r="C21" i="4"/>
  <c r="C22" i="4"/>
  <c r="I17" i="1"/>
  <c r="I26" i="1"/>
  <c r="A20" i="2"/>
  <c r="B80" i="2"/>
  <c r="J21" i="3"/>
  <c r="T21" i="3" s="1"/>
  <c r="B13" i="2"/>
  <c r="G15" i="3"/>
  <c r="S15" i="3" s="1"/>
  <c r="X38" i="1"/>
  <c r="Y38" i="1"/>
  <c r="Z38" i="1"/>
  <c r="J5" i="3"/>
  <c r="AA14" i="1"/>
  <c r="W15" i="1"/>
  <c r="W39" i="1" s="1"/>
  <c r="X14" i="1"/>
  <c r="U6" i="1" s="1"/>
  <c r="I6" i="1" s="1"/>
  <c r="Y14" i="1"/>
  <c r="F13" i="1" a="1"/>
  <c r="F32" i="1" a="1"/>
  <c r="F34" i="1" a="1"/>
  <c r="F23" i="1" a="1"/>
  <c r="F34" i="1" l="1"/>
  <c r="F32" i="1"/>
  <c r="J25" i="3"/>
  <c r="T25" i="3" s="1"/>
  <c r="D25" i="4" s="1"/>
  <c r="C15" i="4"/>
  <c r="D21" i="4"/>
  <c r="F13" i="1"/>
  <c r="F23" i="1"/>
  <c r="A25" i="2"/>
  <c r="J22" i="3"/>
  <c r="T22" i="3" s="1"/>
  <c r="C17" i="2"/>
  <c r="B19" i="2"/>
  <c r="J15" i="3"/>
  <c r="T15" i="3" s="1"/>
  <c r="Z39" i="1"/>
  <c r="X39" i="1"/>
  <c r="Y39" i="1"/>
  <c r="J6" i="3"/>
  <c r="AA15" i="1"/>
  <c r="W16" i="1"/>
  <c r="W40" i="1" s="1"/>
  <c r="Y15" i="1"/>
  <c r="X15" i="1"/>
  <c r="U7" i="1" s="1"/>
  <c r="I7" i="1" s="1"/>
  <c r="F38" i="1" a="1"/>
  <c r="I18" i="1" a="1"/>
  <c r="F29" i="1" a="1"/>
  <c r="F36" i="1" a="1"/>
  <c r="F38" i="1" l="1"/>
  <c r="F36" i="1"/>
  <c r="E10" i="2"/>
  <c r="G28" i="3"/>
  <c r="S28" i="3" s="1"/>
  <c r="C28" i="4" s="1"/>
  <c r="D41" i="2"/>
  <c r="G27" i="3"/>
  <c r="S27" i="3" s="1"/>
  <c r="C27" i="4" s="1"/>
  <c r="F29" i="1"/>
  <c r="D22" i="4"/>
  <c r="D15" i="4"/>
  <c r="I18" i="1"/>
  <c r="A30" i="2"/>
  <c r="B64" i="2"/>
  <c r="G20" i="3"/>
  <c r="S20" i="3" s="1"/>
  <c r="A68" i="2"/>
  <c r="G12" i="3"/>
  <c r="S12" i="3" s="1"/>
  <c r="C12" i="4" s="1"/>
  <c r="X40" i="1"/>
  <c r="Z40" i="1"/>
  <c r="Y40" i="1"/>
  <c r="J7" i="3"/>
  <c r="AA16" i="1"/>
  <c r="W17" i="1"/>
  <c r="W41" i="1" s="1"/>
  <c r="Y16" i="1"/>
  <c r="X16" i="1"/>
  <c r="U8" i="1" s="1"/>
  <c r="I8" i="1" s="1"/>
  <c r="I31" i="1" a="1"/>
  <c r="F27" i="1" a="1"/>
  <c r="F14" i="1" a="1"/>
  <c r="I38" i="1" a="1"/>
  <c r="I38" i="1" l="1"/>
  <c r="F39" i="2"/>
  <c r="G30" i="3"/>
  <c r="S30" i="3" s="1"/>
  <c r="C30" i="4" s="1"/>
  <c r="E46" i="2"/>
  <c r="G29" i="3"/>
  <c r="S29" i="3" s="1"/>
  <c r="C29" i="4" s="1"/>
  <c r="I31" i="1"/>
  <c r="C66" i="2"/>
  <c r="G25" i="3"/>
  <c r="S25" i="3" s="1"/>
  <c r="C25" i="4" s="1"/>
  <c r="C20" i="4"/>
  <c r="F14" i="1"/>
  <c r="F27" i="1"/>
  <c r="A35" i="2"/>
  <c r="B29" i="2"/>
  <c r="J16" i="3"/>
  <c r="T16" i="3" s="1"/>
  <c r="Y41" i="1"/>
  <c r="Z41" i="1"/>
  <c r="X41" i="1"/>
  <c r="J8" i="3"/>
  <c r="AA17" i="1"/>
  <c r="AA21" i="1" s="1"/>
  <c r="X17" i="1"/>
  <c r="U9" i="1" s="1"/>
  <c r="I9" i="1" s="1"/>
  <c r="Y17" i="1"/>
  <c r="I19" i="1" a="1"/>
  <c r="I40" i="1" a="1"/>
  <c r="I40" i="1" l="1"/>
  <c r="F58" i="2"/>
  <c r="J30" i="3"/>
  <c r="T30" i="3" s="1"/>
  <c r="D30" i="4" s="1"/>
  <c r="D73" i="2"/>
  <c r="J26" i="3"/>
  <c r="T26" i="3" s="1"/>
  <c r="D26" i="4" s="1"/>
  <c r="D16" i="4"/>
  <c r="I19" i="1"/>
  <c r="A40" i="2"/>
  <c r="C25" i="2"/>
  <c r="G23" i="3"/>
  <c r="S23" i="3" s="1"/>
  <c r="A73" i="2"/>
  <c r="G13" i="3"/>
  <c r="S13" i="3" s="1"/>
  <c r="C13" i="4" s="1"/>
  <c r="J9" i="3"/>
  <c r="I27" i="1" a="1"/>
  <c r="G50" i="2" l="1"/>
  <c r="J31" i="3"/>
  <c r="T31" i="3" s="1"/>
  <c r="D31" i="4" s="1"/>
  <c r="C23" i="4"/>
  <c r="I27" i="1"/>
  <c r="B39" i="2"/>
  <c r="J17" i="3"/>
  <c r="T17" i="3" s="1"/>
  <c r="F31" i="1" a="1"/>
  <c r="I34" i="1" a="1"/>
  <c r="I34" i="1" l="1"/>
  <c r="F31" i="1"/>
  <c r="D17" i="4"/>
  <c r="C37" i="2"/>
  <c r="J23" i="3"/>
  <c r="T23" i="3" s="1"/>
  <c r="I36" i="1" a="1"/>
  <c r="F40" i="1" a="1"/>
  <c r="F40" i="1" l="1"/>
  <c r="I36" i="1"/>
  <c r="E32" i="2"/>
  <c r="J28" i="3"/>
  <c r="T28" i="3" s="1"/>
  <c r="D28" i="4" s="1"/>
  <c r="D61" i="2"/>
  <c r="G26" i="3"/>
  <c r="S26" i="3" s="1"/>
  <c r="C26" i="4" s="1"/>
  <c r="D23" i="4"/>
  <c r="F42" i="1" a="1"/>
  <c r="F44" i="1" a="1"/>
  <c r="F42" i="1" l="1"/>
  <c r="F44" i="1"/>
  <c r="I47" i="2"/>
  <c r="I48" i="2" s="1"/>
  <c r="G20" i="2"/>
  <c r="G31" i="3"/>
  <c r="S31" i="3" s="1"/>
  <c r="C31" i="4" s="1"/>
  <c r="E67" i="2"/>
  <c r="J29" i="3"/>
  <c r="T29" i="3" s="1"/>
  <c r="D29" i="4" s="1"/>
  <c r="H61" i="2" l="1"/>
  <c r="J32" i="3"/>
  <c r="T32" i="3" s="1"/>
  <c r="D32" i="4" s="1"/>
  <c r="H33" i="2"/>
  <c r="G32" i="3"/>
  <c r="S32" i="3" s="1"/>
  <c r="C3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<sst xmlns="http://schemas.openxmlformats.org/spreadsheetml/2006/main" count="369" uniqueCount="174">
  <si>
    <t>G #</t>
  </si>
  <si>
    <t>Day</t>
  </si>
  <si>
    <t>Date</t>
  </si>
  <si>
    <t>Time</t>
  </si>
  <si>
    <t>Teams &amp; Scores</t>
  </si>
  <si>
    <t>Host/Park/Field</t>
  </si>
  <si>
    <t>SUM</t>
  </si>
  <si>
    <t>Umpire (bases)</t>
  </si>
  <si>
    <t>Teams</t>
  </si>
  <si>
    <t>#</t>
  </si>
  <si>
    <t>Team</t>
  </si>
  <si>
    <t>Park</t>
  </si>
  <si>
    <t>Host</t>
  </si>
  <si>
    <t>vs</t>
  </si>
  <si>
    <t>D27 Assigned</t>
  </si>
  <si>
    <t>GV-King Road</t>
  </si>
  <si>
    <t>CV-Monument Park</t>
  </si>
  <si>
    <t>WG-1</t>
  </si>
  <si>
    <t>WG-2</t>
  </si>
  <si>
    <t>WG-3</t>
  </si>
  <si>
    <t>WG-4</t>
  </si>
  <si>
    <t>WG-5</t>
  </si>
  <si>
    <t>WG-6</t>
  </si>
  <si>
    <t>WG-7</t>
  </si>
  <si>
    <t>WG-8</t>
  </si>
  <si>
    <t>WG-9</t>
  </si>
  <si>
    <t>WG-10</t>
  </si>
  <si>
    <t>WG-11</t>
  </si>
  <si>
    <t>WG-12</t>
  </si>
  <si>
    <t>WG-13</t>
  </si>
  <si>
    <t>WG-14</t>
  </si>
  <si>
    <t>Champion</t>
  </si>
  <si>
    <t>Total</t>
  </si>
  <si>
    <t>Points</t>
  </si>
  <si>
    <t>Order</t>
  </si>
  <si>
    <t>Chester Valley 1</t>
  </si>
  <si>
    <t>Chester Valley 2</t>
  </si>
  <si>
    <t>LG-2</t>
  </si>
  <si>
    <t>LG-7</t>
  </si>
  <si>
    <t>LG-6</t>
  </si>
  <si>
    <t>Lower Perk 1</t>
  </si>
  <si>
    <t>Lower Perk 2</t>
  </si>
  <si>
    <t>D27 Special Games</t>
  </si>
  <si>
    <t>8/9-YO Baseball</t>
  </si>
  <si>
    <t>D27 9-YO Invitational</t>
  </si>
  <si>
    <t>GC Name</t>
  </si>
  <si>
    <t>ABBV</t>
  </si>
  <si>
    <t>CV1</t>
  </si>
  <si>
    <t>CV2</t>
  </si>
  <si>
    <t>LP1</t>
  </si>
  <si>
    <t>LP2</t>
  </si>
  <si>
    <t>Coventry</t>
  </si>
  <si>
    <t>Devon/Strafford</t>
  </si>
  <si>
    <t>Berwyn-Paoli</t>
  </si>
  <si>
    <t>Lower Merion</t>
  </si>
  <si>
    <t>Pottsgrove-Pottstown</t>
  </si>
  <si>
    <t>Radnor/Wayne 1</t>
  </si>
  <si>
    <t>Radnor/Wayne 2</t>
  </si>
  <si>
    <t>Upper Providence 1</t>
  </si>
  <si>
    <t>Upper Providence 2</t>
  </si>
  <si>
    <t>GVE 1</t>
  </si>
  <si>
    <t>GVE 2</t>
  </si>
  <si>
    <t>GVE 3</t>
  </si>
  <si>
    <t>COV</t>
  </si>
  <si>
    <t>DS</t>
  </si>
  <si>
    <t>BP</t>
  </si>
  <si>
    <t>LM</t>
  </si>
  <si>
    <t>PGP</t>
  </si>
  <si>
    <t>RW1</t>
  </si>
  <si>
    <t>RW2</t>
  </si>
  <si>
    <t>UP1</t>
  </si>
  <si>
    <t>UP2</t>
  </si>
  <si>
    <t>GVE1</t>
  </si>
  <si>
    <t>GVE2</t>
  </si>
  <si>
    <t>GVE3</t>
  </si>
  <si>
    <t>COV-Wampler Complex</t>
  </si>
  <si>
    <t>BP-Field of Dreams</t>
  </si>
  <si>
    <t>LP-Palmer Park</t>
  </si>
  <si>
    <t>PGP-Novak Park</t>
  </si>
  <si>
    <t>-D27-BB9</t>
  </si>
  <si>
    <t>LG-1</t>
  </si>
  <si>
    <t>LG-3</t>
  </si>
  <si>
    <t>LG-4</t>
  </si>
  <si>
    <t>LG-5</t>
  </si>
  <si>
    <t>LG-8</t>
  </si>
  <si>
    <t>LG-16</t>
  </si>
  <si>
    <t>LG-15</t>
  </si>
  <si>
    <t>LG-14</t>
  </si>
  <si>
    <t>LG-13</t>
  </si>
  <si>
    <t>WG-15</t>
  </si>
  <si>
    <t>WG-16</t>
  </si>
  <si>
    <t>WG-17</t>
  </si>
  <si>
    <t>WG-18</t>
  </si>
  <si>
    <t>WG-19</t>
  </si>
  <si>
    <t>WG-20</t>
  </si>
  <si>
    <t>LG-22</t>
  </si>
  <si>
    <t>WG-24</t>
  </si>
  <si>
    <t>LG-21</t>
  </si>
  <si>
    <t>WG-23</t>
  </si>
  <si>
    <t>WG-21</t>
  </si>
  <si>
    <t>WG-22</t>
  </si>
  <si>
    <t>WG-26</t>
  </si>
  <si>
    <t>WG-25</t>
  </si>
  <si>
    <t>LG-27</t>
  </si>
  <si>
    <t>WG-28</t>
  </si>
  <si>
    <t>WG-27</t>
  </si>
  <si>
    <t>WG-29</t>
  </si>
  <si>
    <t>WG-30</t>
  </si>
  <si>
    <t>If Necessary</t>
  </si>
  <si>
    <t>UP-MacFarlan Park</t>
  </si>
  <si>
    <t>Manager</t>
  </si>
  <si>
    <t>Email</t>
  </si>
  <si>
    <t>Email Address</t>
  </si>
  <si>
    <t>Jacob Barnes</t>
  </si>
  <si>
    <t>Jakebarnes11@hotmail.com</t>
  </si>
  <si>
    <t>Jim Andrezejewski</t>
  </si>
  <si>
    <t>james.andrzejewski@gmail.com</t>
  </si>
  <si>
    <t>Adam Strittmatter</t>
  </si>
  <si>
    <t>adamstrittmatter@yahoo.com</t>
  </si>
  <si>
    <t>Umpire(s)</t>
  </si>
  <si>
    <t>Local Umpires</t>
  </si>
  <si>
    <t>* Local Umpires = Umpires hired and securied by the Host League</t>
  </si>
  <si>
    <t>Marc Brown</t>
  </si>
  <si>
    <t>marc_brown@live.com</t>
  </si>
  <si>
    <t>Cell Phone</t>
  </si>
  <si>
    <t>717-413-1341</t>
  </si>
  <si>
    <t>Mike Frascella</t>
  </si>
  <si>
    <t>stfrazz@gmail.com</t>
  </si>
  <si>
    <t>Nate Parkyn</t>
  </si>
  <si>
    <t>natep.rwll@gmail.com</t>
  </si>
  <si>
    <t>Stephen Viccica</t>
  </si>
  <si>
    <t>sviccica@gmail.com</t>
  </si>
  <si>
    <t>Chris Brower</t>
  </si>
  <si>
    <t>Matt Heintz</t>
  </si>
  <si>
    <t>Michael Morabito</t>
  </si>
  <si>
    <t>Mike Reinking</t>
  </si>
  <si>
    <t>heintz14@gmail.com</t>
  </si>
  <si>
    <t>michaelmorabito@gmail.com</t>
  </si>
  <si>
    <t>mike@mediaoneproducts.com</t>
  </si>
  <si>
    <t>Dale Kline</t>
  </si>
  <si>
    <t>Joe Houseal</t>
  </si>
  <si>
    <t>Jhouseal1221@yahoo.com</t>
  </si>
  <si>
    <t>484 925 3037</t>
  </si>
  <si>
    <t>Scott Shaw</t>
  </si>
  <si>
    <t>sshaw0379@gmail.com</t>
  </si>
  <si>
    <t>EX-Ship Park</t>
  </si>
  <si>
    <t>Mike Miley</t>
  </si>
  <si>
    <t>Christian Arena</t>
  </si>
  <si>
    <t>mikemiley13@gmail.com</t>
  </si>
  <si>
    <t xml:space="preserve">arena10911@gmail.com </t>
  </si>
  <si>
    <t>G#</t>
  </si>
  <si>
    <t>GC Abbrev</t>
  </si>
  <si>
    <t>Game Abbrev</t>
  </si>
  <si>
    <t>BB-9-</t>
  </si>
  <si>
    <t>Division</t>
  </si>
  <si>
    <t>Level</t>
  </si>
  <si>
    <t>Tournament</t>
  </si>
  <si>
    <t>Championship</t>
  </si>
  <si>
    <t>D27 DA</t>
  </si>
  <si>
    <t>Baseball</t>
  </si>
  <si>
    <t>BB-9</t>
  </si>
  <si>
    <r>
      <t xml:space="preserve">D27 Umpires </t>
    </r>
    <r>
      <rPr>
        <sz val="10"/>
        <rFont val="Aptos Narrow"/>
        <family val="2"/>
        <scheme val="minor"/>
      </rPr>
      <t>(assigned by Gary Hall)</t>
    </r>
  </si>
  <si>
    <t>** GVE are combined teams between Great Valley LL and Exton LL.</t>
  </si>
  <si>
    <t>D/S-Clarke Field</t>
  </si>
  <si>
    <t>cjbrower22@aol.com</t>
  </si>
  <si>
    <t>dale@qemg.com</t>
  </si>
  <si>
    <t>267-625-8863</t>
  </si>
  <si>
    <t>R/W-Encke Park</t>
  </si>
  <si>
    <t>Home</t>
  </si>
  <si>
    <t>Away</t>
  </si>
  <si>
    <t>Location</t>
  </si>
  <si>
    <t>Duration</t>
  </si>
  <si>
    <t>GC Team 1</t>
  </si>
  <si>
    <t>GC Team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</si>
</sst>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d"/>
    <numFmt numFmtId="165" formatCode="mmm\-dd\-yyyy"/>
    <numFmt numFmtId="166" formatCode="dd\-mmm\-yy"/>
    <numFmt numFmtId="167" formatCode="mm/dd/yy"/>
    <numFmt numFmtId="168" formatCode="mm/dd/yyyy"/>
  </numFmts>
  <fonts count="18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14"/>
      <color theme="1"/>
      <name val="Calibri"/>
      <family val="2"/>
    </font>
    <font>
      <sz val="26"/>
      <color theme="1"/>
      <name val="Calibri"/>
      <family val="2"/>
    </font>
    <font>
      <sz val="10"/>
      <name val="Aptos Narrow"/>
      <family val="2"/>
      <scheme val="minor"/>
    </font>
    <font>
      <b/>
      <u/>
      <sz val="10"/>
      <name val="Aptos Narrow"/>
      <family val="2"/>
      <scheme val="minor"/>
    </font>
    <font>
      <b/>
      <sz val="1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118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right" vertical="center"/>
    </xf>
    <xf numFmtId="0" fontId="2" fillId="0" borderId="1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  <xf numFmtId="18" fontId="3" fillId="3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/>
    </xf>
    <xf numFmtId="0" fontId="3" fillId="4" borderId="1" xfId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1" fontId="3" fillId="0" borderId="0" xfId="1" applyNumberFormat="1" applyFont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/>
    </xf>
    <xf numFmtId="18" fontId="3" fillId="6" borderId="1" xfId="1" applyNumberFormat="1" applyFont="1" applyFill="1" applyBorder="1" applyAlignment="1">
      <alignment horizontal="center" vertical="center"/>
    </xf>
    <xf numFmtId="18" fontId="4" fillId="0" borderId="1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8" fillId="0" borderId="9" xfId="0" applyFont="1" applyBorder="1" applyAlignment="1">
      <alignment horizontal="right" vertical="center"/>
    </xf>
    <xf numFmtId="0" fontId="7" fillId="0" borderId="11" xfId="0" applyFont="1" applyBorder="1" applyAlignment="1">
      <alignment horizontal="right" vertical="center"/>
    </xf>
    <xf numFmtId="0" fontId="3" fillId="7" borderId="1" xfId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vertical="center"/>
    </xf>
    <xf numFmtId="0" fontId="3" fillId="0" borderId="0" xfId="1" quotePrefix="1" applyFont="1" applyAlignment="1">
      <alignment horizontal="center" vertical="center"/>
    </xf>
    <xf numFmtId="0" fontId="3" fillId="8" borderId="1" xfId="1" applyFont="1" applyFill="1" applyBorder="1" applyAlignment="1">
      <alignment vertical="center"/>
    </xf>
    <xf numFmtId="0" fontId="3" fillId="8" borderId="1" xfId="1" applyFont="1" applyFill="1" applyBorder="1" applyAlignment="1">
      <alignment horizontal="center" vertical="center"/>
    </xf>
    <xf numFmtId="2" fontId="3" fillId="8" borderId="1" xfId="1" applyNumberFormat="1" applyFont="1" applyFill="1" applyBorder="1" applyAlignment="1">
      <alignment horizontal="center" vertical="center"/>
    </xf>
    <xf numFmtId="0" fontId="12" fillId="8" borderId="1" xfId="2" applyFill="1" applyBorder="1" applyAlignment="1">
      <alignment vertical="center"/>
    </xf>
    <xf numFmtId="0" fontId="6" fillId="4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left" vertical="center"/>
    </xf>
    <xf numFmtId="164" fontId="3" fillId="7" borderId="1" xfId="1" applyNumberFormat="1" applyFont="1" applyFill="1" applyBorder="1" applyAlignment="1">
      <alignment horizontal="center" vertical="center"/>
    </xf>
    <xf numFmtId="165" fontId="3" fillId="7" borderId="1" xfId="1" applyNumberFormat="1" applyFont="1" applyFill="1" applyBorder="1" applyAlignment="1">
      <alignment horizontal="center" vertical="center"/>
    </xf>
    <xf numFmtId="18" fontId="3" fillId="7" borderId="1" xfId="1" applyNumberFormat="1" applyFont="1" applyFill="1" applyBorder="1" applyAlignment="1">
      <alignment horizontal="center" vertical="center"/>
    </xf>
    <xf numFmtId="167" fontId="2" fillId="2" borderId="1" xfId="1" applyNumberFormat="1" applyFont="1" applyFill="1" applyBorder="1" applyAlignment="1">
      <alignment horizontal="center" vertical="center"/>
    </xf>
    <xf numFmtId="167" fontId="3" fillId="3" borderId="1" xfId="1" applyNumberFormat="1" applyFont="1" applyFill="1" applyBorder="1" applyAlignment="1">
      <alignment horizontal="center" vertical="center"/>
    </xf>
    <xf numFmtId="167" fontId="3" fillId="7" borderId="1" xfId="1" applyNumberFormat="1" applyFont="1" applyFill="1" applyBorder="1" applyAlignment="1">
      <alignment horizontal="center" vertical="center"/>
    </xf>
    <xf numFmtId="167" fontId="3" fillId="6" borderId="1" xfId="1" applyNumberFormat="1" applyFont="1" applyFill="1" applyBorder="1" applyAlignment="1">
      <alignment horizontal="center" vertical="center"/>
    </xf>
    <xf numFmtId="167" fontId="3" fillId="0" borderId="0" xfId="1" applyNumberFormat="1" applyFont="1" applyAlignment="1">
      <alignment horizontal="center" vertical="center"/>
    </xf>
    <xf numFmtId="0" fontId="3" fillId="5" borderId="1" xfId="1" applyFont="1" applyFill="1" applyBorder="1" applyAlignment="1">
      <alignment vertical="center"/>
    </xf>
    <xf numFmtId="0" fontId="15" fillId="3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16" fillId="2" borderId="1" xfId="1" applyFont="1" applyFill="1" applyBorder="1" applyAlignment="1">
      <alignment horizontal="center" vertical="center"/>
    </xf>
    <xf numFmtId="0" fontId="17" fillId="9" borderId="1" xfId="1" applyFont="1" applyFill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1" quotePrefix="1" applyFont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right" vertical="center"/>
    </xf>
    <xf numFmtId="0" fontId="3" fillId="6" borderId="1" xfId="1" applyFont="1" applyFill="1" applyBorder="1" applyAlignment="1">
      <alignment horizontal="left" vertical="center"/>
    </xf>
    <xf numFmtId="0" fontId="3" fillId="6" borderId="1" xfId="1" applyFont="1" applyFill="1" applyBorder="1" applyAlignment="1">
      <alignment vertical="center"/>
    </xf>
    <xf numFmtId="0" fontId="3" fillId="11" borderId="1" xfId="1" applyFont="1" applyFill="1" applyBorder="1" applyAlignment="1">
      <alignment horizontal="center" vertical="center"/>
    </xf>
    <xf numFmtId="18" fontId="3" fillId="11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168" fontId="0" fillId="0" borderId="1" xfId="0" applyNumberFormat="1" applyBorder="1" applyAlignment="1">
      <alignment horizontal="left" vertical="center"/>
    </xf>
    <xf numFmtId="1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9" fillId="13" borderId="0" xfId="0" applyFont="1" applyFill="1" applyAlignment="1">
      <alignment horizontal="right" vertical="center"/>
    </xf>
    <xf numFmtId="164" fontId="3" fillId="11" borderId="1" xfId="1" applyNumberFormat="1" applyFont="1" applyFill="1" applyBorder="1" applyAlignment="1">
      <alignment horizontal="center" vertical="center"/>
    </xf>
    <xf numFmtId="167" fontId="3" fillId="11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8" fillId="0" borderId="5" xfId="1" quotePrefix="1" applyFont="1" applyBorder="1" applyAlignment="1">
      <alignment horizontal="right" vertical="center" wrapText="1"/>
    </xf>
    <xf numFmtId="0" fontId="8" fillId="0" borderId="6" xfId="1" applyFont="1" applyBorder="1" applyAlignment="1">
      <alignment horizontal="right" vertical="center" wrapText="1"/>
    </xf>
    <xf numFmtId="0" fontId="8" fillId="0" borderId="7" xfId="1" quotePrefix="1" applyFont="1" applyBorder="1" applyAlignment="1">
      <alignment horizontal="right" vertical="center" wrapText="1"/>
    </xf>
    <xf numFmtId="0" fontId="8" fillId="0" borderId="6" xfId="1" quotePrefix="1" applyFont="1" applyBorder="1" applyAlignment="1">
      <alignment horizontal="right" vertical="center" wrapText="1"/>
    </xf>
    <xf numFmtId="0" fontId="3" fillId="12" borderId="5" xfId="0" quotePrefix="1" applyFont="1" applyFill="1" applyBorder="1" applyAlignment="1">
      <alignment horizontal="right" vertical="center" wrapText="1"/>
    </xf>
    <xf numFmtId="0" fontId="3" fillId="12" borderId="7" xfId="0" quotePrefix="1" applyFont="1" applyFill="1" applyBorder="1" applyAlignment="1">
      <alignment horizontal="right" vertical="center" wrapText="1"/>
    </xf>
    <xf numFmtId="0" fontId="3" fillId="12" borderId="6" xfId="0" quotePrefix="1" applyFont="1" applyFill="1" applyBorder="1" applyAlignment="1">
      <alignment horizontal="right" vertical="center" wrapText="1"/>
    </xf>
    <xf numFmtId="0" fontId="3" fillId="0" borderId="5" xfId="0" quotePrefix="1" applyFont="1" applyBorder="1" applyAlignment="1">
      <alignment horizontal="right" vertical="center" wrapText="1"/>
    </xf>
    <xf numFmtId="0" fontId="3" fillId="0" borderId="7" xfId="0" quotePrefix="1" applyFont="1" applyBorder="1" applyAlignment="1">
      <alignment horizontal="right" vertical="center" wrapText="1"/>
    </xf>
    <xf numFmtId="0" fontId="3" fillId="0" borderId="6" xfId="0" quotePrefix="1" applyFont="1" applyBorder="1" applyAlignment="1">
      <alignment horizontal="right" vertical="center" wrapText="1"/>
    </xf>
    <xf numFmtId="0" fontId="10" fillId="0" borderId="5" xfId="0" quotePrefix="1" applyFont="1" applyBorder="1" applyAlignment="1">
      <alignment horizontal="right" vertical="center" wrapText="1"/>
    </xf>
    <xf numFmtId="0" fontId="10" fillId="0" borderId="7" xfId="0" quotePrefix="1" applyFont="1" applyBorder="1" applyAlignment="1">
      <alignment horizontal="right" vertical="center" wrapText="1"/>
    </xf>
    <xf numFmtId="0" fontId="10" fillId="0" borderId="6" xfId="0" quotePrefix="1" applyFont="1" applyBorder="1" applyAlignment="1">
      <alignment horizontal="right" vertical="center" wrapText="1"/>
    </xf>
    <xf numFmtId="0" fontId="13" fillId="10" borderId="12" xfId="0" applyFont="1" applyFill="1" applyBorder="1" applyAlignment="1">
      <alignment horizontal="center" vertical="center"/>
    </xf>
    <xf numFmtId="0" fontId="13" fillId="10" borderId="15" xfId="0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center" vertical="center"/>
    </xf>
    <xf numFmtId="0" fontId="14" fillId="10" borderId="14" xfId="0" applyFont="1" applyFill="1" applyBorder="1" applyAlignment="1">
      <alignment horizontal="center" vertical="center"/>
    </xf>
    <xf numFmtId="0" fontId="14" fillId="10" borderId="16" xfId="0" applyFont="1" applyFill="1" applyBorder="1" applyAlignment="1">
      <alignment horizontal="center" vertical="center"/>
    </xf>
    <xf numFmtId="0" fontId="14" fillId="10" borderId="17" xfId="0" applyFont="1" applyFill="1" applyBorder="1" applyAlignment="1">
      <alignment horizontal="center" vertical="center"/>
    </xf>
    <xf numFmtId="0" fontId="14" fillId="10" borderId="18" xfId="0" applyFont="1" applyFill="1" applyBorder="1" applyAlignment="1">
      <alignment horizontal="center" vertical="center"/>
    </xf>
    <xf numFmtId="0" fontId="14" fillId="10" borderId="19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right" vertical="center" wrapText="1"/>
    </xf>
    <xf numFmtId="0" fontId="10" fillId="0" borderId="7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7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0" fontId="10" fillId="3" borderId="11" xfId="0" quotePrefix="1" applyFont="1" applyFill="1" applyBorder="1" applyAlignment="1">
      <alignment horizontal="right" vertical="center" wrapText="1"/>
    </xf>
    <xf numFmtId="0" fontId="10" fillId="3" borderId="5" xfId="0" quotePrefix="1" applyFont="1" applyFill="1" applyBorder="1" applyAlignment="1">
      <alignment horizontal="right" vertical="center" wrapText="1"/>
    </xf>
    <xf numFmtId="0" fontId="10" fillId="3" borderId="0" xfId="0" quotePrefix="1" applyFont="1" applyFill="1" applyAlignment="1">
      <alignment horizontal="right" vertical="center" wrapText="1"/>
    </xf>
    <xf numFmtId="0" fontId="10" fillId="3" borderId="7" xfId="0" quotePrefix="1" applyFont="1" applyFill="1" applyBorder="1" applyAlignment="1">
      <alignment horizontal="right" vertical="center" wrapText="1"/>
    </xf>
    <xf numFmtId="0" fontId="10" fillId="3" borderId="10" xfId="0" quotePrefix="1" applyFont="1" applyFill="1" applyBorder="1" applyAlignment="1">
      <alignment horizontal="right" vertical="center" wrapText="1"/>
    </xf>
    <xf numFmtId="0" fontId="10" fillId="3" borderId="6" xfId="0" quotePrefix="1" applyFont="1" applyFill="1" applyBorder="1" applyAlignment="1">
      <alignment horizontal="right" vertical="center" wrapText="1"/>
    </xf>
    <xf numFmtId="0" fontId="2" fillId="2" borderId="8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734925A6-7BBB-4460-98F5-58AED6F87062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heintz14@gmail.com" TargetMode="External"/><Relationship Id="rId13" Type="http://schemas.openxmlformats.org/officeDocument/2006/relationships/hyperlink" Target="mailto:marc_brown@live.com" TargetMode="External"/><Relationship Id="rId3" Type="http://schemas.openxmlformats.org/officeDocument/2006/relationships/hyperlink" Target="mailto:sshaw0379@gmail.com" TargetMode="External"/><Relationship Id="rId7" Type="http://schemas.openxmlformats.org/officeDocument/2006/relationships/hyperlink" Target="mailto:michaelmorabito@gmail.com" TargetMode="External"/><Relationship Id="rId12" Type="http://schemas.openxmlformats.org/officeDocument/2006/relationships/hyperlink" Target="mailto:stfrazz@gmail.com" TargetMode="External"/><Relationship Id="rId2" Type="http://schemas.openxmlformats.org/officeDocument/2006/relationships/hyperlink" Target="mailto:mikemiley13@gmail.com" TargetMode="External"/><Relationship Id="rId16" Type="http://schemas.openxmlformats.org/officeDocument/2006/relationships/hyperlink" Target="mailto:Jakebarnes11@hotmail.com" TargetMode="External"/><Relationship Id="rId1" Type="http://schemas.openxmlformats.org/officeDocument/2006/relationships/hyperlink" Target="mailto:arena10911@gmail.com" TargetMode="External"/><Relationship Id="rId6" Type="http://schemas.openxmlformats.org/officeDocument/2006/relationships/hyperlink" Target="mailto:mike@mediaoneproducts.com" TargetMode="External"/><Relationship Id="rId11" Type="http://schemas.openxmlformats.org/officeDocument/2006/relationships/hyperlink" Target="mailto:natep.rwll@gmail.com" TargetMode="External"/><Relationship Id="rId5" Type="http://schemas.openxmlformats.org/officeDocument/2006/relationships/hyperlink" Target="mailto:dale@qemg.com" TargetMode="External"/><Relationship Id="rId15" Type="http://schemas.openxmlformats.org/officeDocument/2006/relationships/hyperlink" Target="mailto:james.andrzejewski@gmail.com" TargetMode="External"/><Relationship Id="rId10" Type="http://schemas.openxmlformats.org/officeDocument/2006/relationships/hyperlink" Target="mailto:sviccica@gmail.com" TargetMode="External"/><Relationship Id="rId4" Type="http://schemas.openxmlformats.org/officeDocument/2006/relationships/hyperlink" Target="mailto:Jhouseal1221@yahoo.com" TargetMode="External"/><Relationship Id="rId9" Type="http://schemas.openxmlformats.org/officeDocument/2006/relationships/hyperlink" Target="mailto:cjbrower22@aol.com" TargetMode="External"/><Relationship Id="rId14" Type="http://schemas.openxmlformats.org/officeDocument/2006/relationships/hyperlink" Target="mailto:adamstrittmatter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A7A9-5AF4-4BF2-8956-1FF544003F07}">
  <sheetPr>
    <pageSetUpPr fitToPage="1"/>
  </sheetPr>
  <dimension ref="A1:AP48"/>
  <sheetViews>
    <sheetView zoomScale="90" zoomScaleNormal="90" workbookViewId="0">
      <pane xSplit="4" ySplit="1" topLeftCell="E26" activePane="bottomRight" state="frozen"/>
      <selection pane="topRight" activeCell="F1" sqref="F1"/>
      <selection pane="bottomLeft" activeCell="A2" sqref="A2"/>
      <selection pane="bottomRight" activeCell="F44" sqref="F44"/>
    </sheetView>
  </sheetViews>
  <sheetFormatPr defaultColWidth="9.1328125" defaultRowHeight="14.25" x14ac:dyDescent="0.45"/>
  <cols>
    <col min="1" max="1" width="4.73046875" style="26" customWidth="1"/>
    <col min="2" max="2" width="6.73046875" style="26" customWidth="1"/>
    <col min="3" max="3" width="10.73046875" style="54" customWidth="1"/>
    <col min="4" max="4" width="9.73046875" style="26" bestFit="1" customWidth="1"/>
    <col min="5" max="5" width="2.73046875" style="4" customWidth="1"/>
    <col min="6" max="6" width="21.73046875" style="4" customWidth="1"/>
    <col min="7" max="7" width="4.59765625" style="26" customWidth="1"/>
    <col min="8" max="8" width="4.73046875" style="4" customWidth="1"/>
    <col min="9" max="9" width="21.73046875" style="4" customWidth="1"/>
    <col min="10" max="10" width="4.59765625" style="4" customWidth="1"/>
    <col min="11" max="11" width="4.73046875" style="4" customWidth="1"/>
    <col min="12" max="12" width="23.73046875" style="26" customWidth="1"/>
    <col min="13" max="13" width="18.73046875" style="4" customWidth="1"/>
    <col min="14" max="14" width="14.73046875" style="4" hidden="1" customWidth="1"/>
    <col min="15" max="15" width="2.73046875" style="4" hidden="1" customWidth="1"/>
    <col min="16" max="16" width="6.73046875" style="4" hidden="1" customWidth="1"/>
    <col min="17" max="17" width="2.73046875" style="4" hidden="1" customWidth="1"/>
    <col min="18" max="18" width="20.73046875" style="26" hidden="1" customWidth="1"/>
    <col min="19" max="20" width="3.73046875" style="26" hidden="1" customWidth="1"/>
    <col min="21" max="21" width="20.73046875" style="26" hidden="1" customWidth="1"/>
    <col min="22" max="22" width="8.73046875" style="4" customWidth="1"/>
    <col min="23" max="23" width="4.73046875" style="26" customWidth="1"/>
    <col min="24" max="24" width="21.73046875" style="4" customWidth="1"/>
    <col min="25" max="25" width="19.3984375" style="4" bestFit="1" customWidth="1"/>
    <col min="26" max="26" width="33.3984375" style="4" bestFit="1" customWidth="1"/>
    <col min="27" max="27" width="4.73046875" style="4" customWidth="1"/>
    <col min="28" max="28" width="2.73046875" style="4" customWidth="1"/>
    <col min="29" max="29" width="4.73046875" style="26" customWidth="1"/>
    <col min="30" max="30" width="20.73046875" style="4" customWidth="1"/>
    <col min="31" max="31" width="14.265625" style="4" customWidth="1"/>
    <col min="32" max="32" width="27.1328125" style="4" customWidth="1"/>
    <col min="33" max="33" width="14.265625" style="26" customWidth="1"/>
    <col min="34" max="34" width="6.73046875" style="26" customWidth="1"/>
    <col min="35" max="35" width="22.3984375" style="4" customWidth="1"/>
    <col min="36" max="36" width="10.73046875" style="26" customWidth="1"/>
    <col min="37" max="37" width="10.73046875" style="4" customWidth="1"/>
    <col min="38" max="38" width="20.73046875" style="4" customWidth="1"/>
    <col min="39" max="39" width="14.73046875" style="4" customWidth="1"/>
    <col min="40" max="41" width="14.73046875" style="26" customWidth="1"/>
    <col min="42" max="42" width="22.3984375" style="4" customWidth="1"/>
    <col min="43" max="16384" width="9.1328125" style="6"/>
  </cols>
  <sheetData>
    <row r="1" spans="1:27" x14ac:dyDescent="0.45">
      <c r="A1" s="1" t="s">
        <v>0</v>
      </c>
      <c r="B1" s="1" t="s">
        <v>1</v>
      </c>
      <c r="C1" s="50" t="s">
        <v>2</v>
      </c>
      <c r="D1" s="1" t="s">
        <v>3</v>
      </c>
      <c r="E1" s="2"/>
      <c r="F1" s="77" t="s">
        <v>4</v>
      </c>
      <c r="G1" s="77"/>
      <c r="H1" s="77"/>
      <c r="I1" s="77"/>
      <c r="J1" s="77"/>
      <c r="K1" s="3"/>
      <c r="L1" s="1" t="s">
        <v>5</v>
      </c>
      <c r="M1" s="1" t="s">
        <v>119</v>
      </c>
      <c r="N1" s="1" t="s">
        <v>7</v>
      </c>
      <c r="O1" s="3"/>
      <c r="P1" s="1" t="s">
        <v>6</v>
      </c>
      <c r="Q1" s="3"/>
      <c r="R1" s="77" t="s">
        <v>8</v>
      </c>
      <c r="S1" s="77"/>
      <c r="T1" s="77"/>
      <c r="U1" s="77"/>
      <c r="W1" s="5" t="s">
        <v>9</v>
      </c>
      <c r="X1" s="5" t="s">
        <v>10</v>
      </c>
      <c r="Y1" s="5" t="s">
        <v>45</v>
      </c>
      <c r="Z1" s="5" t="s">
        <v>11</v>
      </c>
      <c r="AA1" s="5" t="s">
        <v>12</v>
      </c>
    </row>
    <row r="2" spans="1:27" x14ac:dyDescent="0.45">
      <c r="A2" s="7">
        <v>1</v>
      </c>
      <c r="B2" s="8">
        <f t="shared" ref="B2:B9" si="0">+C2</f>
        <v>45822</v>
      </c>
      <c r="C2" s="51">
        <v>45822</v>
      </c>
      <c r="D2" s="11">
        <v>0.625</v>
      </c>
      <c r="E2" s="12"/>
      <c r="F2" s="13" t="str">
        <f>+R2</f>
        <v>GVE 2</v>
      </c>
      <c r="G2" s="14">
        <v>2</v>
      </c>
      <c r="H2" s="14" t="s">
        <v>13</v>
      </c>
      <c r="I2" s="13" t="str">
        <f t="shared" ref="I2" si="1">+U2</f>
        <v>Radnor/Wayne 1</v>
      </c>
      <c r="J2" s="14">
        <v>15</v>
      </c>
      <c r="K2" s="15"/>
      <c r="L2" s="14" t="s">
        <v>167</v>
      </c>
      <c r="M2" s="14" t="s">
        <v>120</v>
      </c>
      <c r="N2" s="14"/>
      <c r="O2" s="14"/>
      <c r="P2" s="14">
        <f t="shared" ref="P2:P9" si="2">+G2+J2</f>
        <v>17</v>
      </c>
      <c r="Q2" s="14"/>
      <c r="R2" s="14" t="str">
        <f>+X2</f>
        <v>GVE 2</v>
      </c>
      <c r="S2" s="14"/>
      <c r="T2" s="14"/>
      <c r="U2" s="14" t="str">
        <f>+X10</f>
        <v>Radnor/Wayne 1</v>
      </c>
      <c r="V2" s="16"/>
      <c r="W2" s="21">
        <v>1</v>
      </c>
      <c r="X2" s="55" t="str">
        <f>VLOOKUP($W2,'D27'!$K$37:$Q$52,2,FALSE)</f>
        <v>GVE 2</v>
      </c>
      <c r="Y2" s="55" t="str">
        <f>VLOOKUP($W2,'D27'!$K$37:$Q$52,3,FALSE)</f>
        <v>GVE2-D27-BB9</v>
      </c>
      <c r="Z2" s="46" t="str">
        <f>VLOOKUP($W2,'D27'!$K$37:$Q$52,7,FALSE)</f>
        <v>EX-Ship Park</v>
      </c>
      <c r="AA2" s="14">
        <f t="shared" ref="AA2:AA17" si="3">IF(Z2="","",COUNTIF($L$2:$L$45,$Z2))</f>
        <v>2</v>
      </c>
    </row>
    <row r="3" spans="1:27" x14ac:dyDescent="0.45">
      <c r="A3" s="7">
        <v>2</v>
      </c>
      <c r="B3" s="8">
        <f t="shared" si="0"/>
        <v>45822</v>
      </c>
      <c r="C3" s="51">
        <v>45822</v>
      </c>
      <c r="D3" s="11">
        <v>0.5</v>
      </c>
      <c r="E3" s="12"/>
      <c r="F3" s="13" t="str">
        <f t="shared" ref="F3:F9" si="4">+R3</f>
        <v>Chester Valley 2</v>
      </c>
      <c r="G3" s="14">
        <v>0</v>
      </c>
      <c r="H3" s="14" t="s">
        <v>13</v>
      </c>
      <c r="I3" s="13" t="str">
        <f t="shared" ref="I3:I9" si="5">+U3</f>
        <v>Lower Perk 1</v>
      </c>
      <c r="J3" s="14">
        <v>10</v>
      </c>
      <c r="K3" s="15"/>
      <c r="L3" s="14" t="s">
        <v>77</v>
      </c>
      <c r="M3" s="18" t="s">
        <v>120</v>
      </c>
      <c r="N3" s="18"/>
      <c r="O3" s="15"/>
      <c r="P3" s="14">
        <f t="shared" si="2"/>
        <v>10</v>
      </c>
      <c r="Q3" s="15"/>
      <c r="R3" s="14" t="str">
        <f t="shared" ref="R3:R9" si="6">+X3</f>
        <v>Chester Valley 2</v>
      </c>
      <c r="S3" s="14"/>
      <c r="T3" s="14"/>
      <c r="U3" s="14" t="str">
        <f t="shared" ref="U3:U9" si="7">+X11</f>
        <v>Lower Perk 1</v>
      </c>
      <c r="V3" s="16"/>
      <c r="W3" s="21">
        <f>+W2+1</f>
        <v>2</v>
      </c>
      <c r="X3" s="55" t="str">
        <f>VLOOKUP($W3,'D27'!$K$37:$Q$52,2,FALSE)</f>
        <v>Chester Valley 2</v>
      </c>
      <c r="Y3" s="55" t="str">
        <f>VLOOKUP($W3,'D27'!$K$37:$Q$52,3,FALSE)</f>
        <v>CV2-D27-BB9</v>
      </c>
      <c r="Z3" s="46" t="str">
        <f>VLOOKUP($W3,'D27'!$K$37:$Q$52,7,FALSE)</f>
        <v/>
      </c>
      <c r="AA3" s="14" t="str">
        <f t="shared" si="3"/>
        <v/>
      </c>
    </row>
    <row r="4" spans="1:27" x14ac:dyDescent="0.45">
      <c r="A4" s="7">
        <v>3</v>
      </c>
      <c r="B4" s="8">
        <f t="shared" si="0"/>
        <v>45822</v>
      </c>
      <c r="C4" s="51">
        <v>45822</v>
      </c>
      <c r="D4" s="11">
        <v>0.41666666666666669</v>
      </c>
      <c r="E4" s="12"/>
      <c r="F4" s="13" t="str">
        <f t="shared" si="4"/>
        <v>Lower Perk 2</v>
      </c>
      <c r="G4" s="14">
        <v>1</v>
      </c>
      <c r="H4" s="14" t="s">
        <v>13</v>
      </c>
      <c r="I4" s="13" t="str">
        <f t="shared" si="5"/>
        <v>GVE 1</v>
      </c>
      <c r="J4" s="14">
        <v>11</v>
      </c>
      <c r="K4" s="15"/>
      <c r="L4" s="14" t="s">
        <v>77</v>
      </c>
      <c r="M4" s="14" t="s">
        <v>120</v>
      </c>
      <c r="N4" s="14"/>
      <c r="O4" s="14"/>
      <c r="P4" s="14">
        <f t="shared" si="2"/>
        <v>12</v>
      </c>
      <c r="Q4" s="14"/>
      <c r="R4" s="14" t="str">
        <f t="shared" si="6"/>
        <v>Lower Perk 2</v>
      </c>
      <c r="S4" s="14"/>
      <c r="T4" s="14"/>
      <c r="U4" s="14" t="str">
        <f t="shared" si="7"/>
        <v>GVE 1</v>
      </c>
      <c r="V4" s="16"/>
      <c r="W4" s="21">
        <f>+W3+1</f>
        <v>3</v>
      </c>
      <c r="X4" s="55" t="str">
        <f>VLOOKUP($W4,'D27'!$K$37:$Q$52,2,FALSE)</f>
        <v>Lower Perk 2</v>
      </c>
      <c r="Y4" s="55" t="str">
        <f>VLOOKUP($W4,'D27'!$K$37:$Q$52,3,FALSE)</f>
        <v>LP2-D27-BB9</v>
      </c>
      <c r="Z4" s="46" t="str">
        <f>VLOOKUP($W4,'D27'!$K$37:$Q$52,7,FALSE)</f>
        <v/>
      </c>
      <c r="AA4" s="14" t="str">
        <f t="shared" si="3"/>
        <v/>
      </c>
    </row>
    <row r="5" spans="1:27" x14ac:dyDescent="0.45">
      <c r="A5" s="7">
        <v>4</v>
      </c>
      <c r="B5" s="8">
        <f t="shared" si="0"/>
        <v>45822</v>
      </c>
      <c r="C5" s="51">
        <v>45822</v>
      </c>
      <c r="D5" s="11">
        <v>0.54166666666666663</v>
      </c>
      <c r="E5" s="12"/>
      <c r="F5" s="13" t="str">
        <f t="shared" si="4"/>
        <v>Radnor/Wayne 2</v>
      </c>
      <c r="G5" s="14">
        <v>3</v>
      </c>
      <c r="H5" s="14" t="s">
        <v>13</v>
      </c>
      <c r="I5" s="13" t="str">
        <f t="shared" si="5"/>
        <v>Chester Valley 1</v>
      </c>
      <c r="J5" s="14">
        <v>15</v>
      </c>
      <c r="K5" s="15"/>
      <c r="L5" s="14" t="s">
        <v>167</v>
      </c>
      <c r="M5" s="14" t="s">
        <v>120</v>
      </c>
      <c r="N5" s="14"/>
      <c r="O5" s="14"/>
      <c r="P5" s="14">
        <f t="shared" si="2"/>
        <v>18</v>
      </c>
      <c r="Q5" s="14"/>
      <c r="R5" s="14" t="str">
        <f t="shared" si="6"/>
        <v>Radnor/Wayne 2</v>
      </c>
      <c r="S5" s="14"/>
      <c r="T5" s="14"/>
      <c r="U5" s="14" t="str">
        <f t="shared" si="7"/>
        <v>Chester Valley 1</v>
      </c>
      <c r="V5" s="16"/>
      <c r="W5" s="21">
        <f t="shared" ref="W5:W17" si="8">+W4+1</f>
        <v>4</v>
      </c>
      <c r="X5" s="55" t="str">
        <f>VLOOKUP($W5,'D27'!$K$37:$Q$52,2,FALSE)</f>
        <v>Radnor/Wayne 2</v>
      </c>
      <c r="Y5" s="55" t="str">
        <f>VLOOKUP($W5,'D27'!$K$37:$Q$52,3,FALSE)</f>
        <v>RW2-D27-BB9</v>
      </c>
      <c r="Z5" s="46" t="str">
        <f>VLOOKUP($W5,'D27'!$K$37:$Q$52,7,FALSE)</f>
        <v/>
      </c>
      <c r="AA5" s="14" t="str">
        <f t="shared" si="3"/>
        <v/>
      </c>
    </row>
    <row r="6" spans="1:27" x14ac:dyDescent="0.45">
      <c r="A6" s="7">
        <v>5</v>
      </c>
      <c r="B6" s="8">
        <f t="shared" si="0"/>
        <v>45822</v>
      </c>
      <c r="C6" s="51">
        <v>45822</v>
      </c>
      <c r="D6" s="11">
        <v>0.41666666666666669</v>
      </c>
      <c r="E6" s="12"/>
      <c r="F6" s="13" t="str">
        <f t="shared" si="4"/>
        <v>Coventry</v>
      </c>
      <c r="G6" s="14">
        <v>11</v>
      </c>
      <c r="H6" s="14" t="s">
        <v>13</v>
      </c>
      <c r="I6" s="13" t="str">
        <f t="shared" si="5"/>
        <v>Devon/Strafford</v>
      </c>
      <c r="J6" s="14">
        <v>4</v>
      </c>
      <c r="K6" s="15"/>
      <c r="L6" s="14" t="s">
        <v>163</v>
      </c>
      <c r="M6" s="14" t="s">
        <v>120</v>
      </c>
      <c r="N6" s="14"/>
      <c r="O6" s="14"/>
      <c r="P6" s="14">
        <f t="shared" si="2"/>
        <v>15</v>
      </c>
      <c r="Q6" s="14"/>
      <c r="R6" s="14" t="str">
        <f t="shared" si="6"/>
        <v>Coventry</v>
      </c>
      <c r="S6" s="14"/>
      <c r="T6" s="14"/>
      <c r="U6" s="14" t="str">
        <f t="shared" si="7"/>
        <v>Devon/Strafford</v>
      </c>
      <c r="V6" s="16"/>
      <c r="W6" s="21">
        <f t="shared" si="8"/>
        <v>5</v>
      </c>
      <c r="X6" s="55" t="str">
        <f>VLOOKUP($W6,'D27'!$K$37:$Q$52,2,FALSE)</f>
        <v>Coventry</v>
      </c>
      <c r="Y6" s="55" t="str">
        <f>VLOOKUP($W6,'D27'!$K$37:$Q$52,3,FALSE)</f>
        <v>COV-D27-BB9</v>
      </c>
      <c r="Z6" s="46" t="str">
        <f>VLOOKUP($W6,'D27'!$K$37:$Q$52,7,FALSE)</f>
        <v>COV-Wampler Complex</v>
      </c>
      <c r="AA6" s="14">
        <f t="shared" si="3"/>
        <v>2</v>
      </c>
    </row>
    <row r="7" spans="1:27" x14ac:dyDescent="0.45">
      <c r="A7" s="7">
        <v>6</v>
      </c>
      <c r="B7" s="8">
        <f t="shared" si="0"/>
        <v>45822</v>
      </c>
      <c r="C7" s="51">
        <v>45822</v>
      </c>
      <c r="D7" s="11">
        <v>0.5</v>
      </c>
      <c r="E7" s="12"/>
      <c r="F7" s="13" t="str">
        <f t="shared" si="4"/>
        <v>Pottsgrove-Pottstown</v>
      </c>
      <c r="G7" s="14">
        <v>7</v>
      </c>
      <c r="H7" s="14" t="s">
        <v>13</v>
      </c>
      <c r="I7" s="13" t="str">
        <f t="shared" si="5"/>
        <v>Lower Merion</v>
      </c>
      <c r="J7" s="14">
        <v>21</v>
      </c>
      <c r="K7" s="15"/>
      <c r="L7" s="14" t="s">
        <v>54</v>
      </c>
      <c r="M7" s="18" t="s">
        <v>120</v>
      </c>
      <c r="N7" s="18"/>
      <c r="O7" s="15"/>
      <c r="P7" s="14">
        <f t="shared" si="2"/>
        <v>28</v>
      </c>
      <c r="Q7" s="15"/>
      <c r="R7" s="14" t="str">
        <f t="shared" si="6"/>
        <v>Pottsgrove-Pottstown</v>
      </c>
      <c r="S7" s="14"/>
      <c r="T7" s="14"/>
      <c r="U7" s="14" t="str">
        <f t="shared" si="7"/>
        <v>Lower Merion</v>
      </c>
      <c r="V7" s="16"/>
      <c r="W7" s="21">
        <f t="shared" si="8"/>
        <v>6</v>
      </c>
      <c r="X7" s="55" t="str">
        <f>VLOOKUP($W7,'D27'!$K$37:$Q$52,2,FALSE)</f>
        <v>Pottsgrove-Pottstown</v>
      </c>
      <c r="Y7" s="55" t="str">
        <f>VLOOKUP($W7,'D27'!$K$37:$Q$52,3,FALSE)</f>
        <v>PGP-D27-BB9</v>
      </c>
      <c r="Z7" s="46" t="str">
        <f>VLOOKUP($W7,'D27'!$K$37:$Q$52,7,FALSE)</f>
        <v>PGP-Novak Park</v>
      </c>
      <c r="AA7" s="14">
        <f t="shared" si="3"/>
        <v>2</v>
      </c>
    </row>
    <row r="8" spans="1:27" x14ac:dyDescent="0.45">
      <c r="A8" s="7">
        <v>7</v>
      </c>
      <c r="B8" s="8">
        <f t="shared" si="0"/>
        <v>45822</v>
      </c>
      <c r="C8" s="51">
        <v>45822</v>
      </c>
      <c r="D8" s="11">
        <v>0.5</v>
      </c>
      <c r="E8" s="12"/>
      <c r="F8" s="13" t="str">
        <f t="shared" si="4"/>
        <v>Upper Providence 2</v>
      </c>
      <c r="G8" s="14">
        <v>18</v>
      </c>
      <c r="H8" s="14" t="s">
        <v>13</v>
      </c>
      <c r="I8" s="13" t="str">
        <f t="shared" si="5"/>
        <v>Berwyn-Paoli</v>
      </c>
      <c r="J8" s="14">
        <v>6</v>
      </c>
      <c r="K8" s="15"/>
      <c r="L8" s="14" t="s">
        <v>163</v>
      </c>
      <c r="M8" s="18" t="s">
        <v>120</v>
      </c>
      <c r="N8" s="18"/>
      <c r="O8" s="15"/>
      <c r="P8" s="14">
        <f t="shared" si="2"/>
        <v>24</v>
      </c>
      <c r="Q8" s="15"/>
      <c r="R8" s="14" t="str">
        <f t="shared" si="6"/>
        <v>Upper Providence 2</v>
      </c>
      <c r="S8" s="14"/>
      <c r="T8" s="14"/>
      <c r="U8" s="14" t="str">
        <f t="shared" si="7"/>
        <v>Berwyn-Paoli</v>
      </c>
      <c r="V8" s="16"/>
      <c r="W8" s="21">
        <f t="shared" si="8"/>
        <v>7</v>
      </c>
      <c r="X8" s="55" t="str">
        <f>VLOOKUP($W8,'D27'!$K$37:$Q$52,2,FALSE)</f>
        <v>Upper Providence 2</v>
      </c>
      <c r="Y8" s="55" t="str">
        <f>VLOOKUP($W8,'D27'!$K$37:$Q$52,3,FALSE)</f>
        <v>UP2-D27-BB9</v>
      </c>
      <c r="Z8" s="46" t="str">
        <f>VLOOKUP($W8,'D27'!$K$37:$Q$52,7,FALSE)</f>
        <v/>
      </c>
      <c r="AA8" s="14" t="str">
        <f t="shared" si="3"/>
        <v/>
      </c>
    </row>
    <row r="9" spans="1:27" x14ac:dyDescent="0.45">
      <c r="A9" s="7">
        <v>8</v>
      </c>
      <c r="B9" s="8">
        <f t="shared" si="0"/>
        <v>45822</v>
      </c>
      <c r="C9" s="51">
        <v>45822</v>
      </c>
      <c r="D9" s="11">
        <v>0.58333333333333337</v>
      </c>
      <c r="E9" s="12"/>
      <c r="F9" s="13" t="str">
        <f t="shared" si="4"/>
        <v>GVE 3</v>
      </c>
      <c r="G9" s="14">
        <v>2</v>
      </c>
      <c r="H9" s="14" t="s">
        <v>13</v>
      </c>
      <c r="I9" s="13" t="str">
        <f t="shared" si="5"/>
        <v>Upper Providence 1</v>
      </c>
      <c r="J9" s="14">
        <v>16</v>
      </c>
      <c r="K9" s="15"/>
      <c r="L9" s="14" t="s">
        <v>54</v>
      </c>
      <c r="M9" s="14" t="s">
        <v>120</v>
      </c>
      <c r="N9" s="14"/>
      <c r="O9" s="14"/>
      <c r="P9" s="14">
        <f t="shared" si="2"/>
        <v>18</v>
      </c>
      <c r="Q9" s="14"/>
      <c r="R9" s="14" t="str">
        <f t="shared" si="6"/>
        <v>GVE 3</v>
      </c>
      <c r="S9" s="14"/>
      <c r="T9" s="14"/>
      <c r="U9" s="14" t="str">
        <f t="shared" si="7"/>
        <v>Upper Providence 1</v>
      </c>
      <c r="V9" s="16"/>
      <c r="W9" s="21">
        <f t="shared" si="8"/>
        <v>8</v>
      </c>
      <c r="X9" s="55" t="str">
        <f>VLOOKUP($W9,'D27'!$K$37:$Q$52,2,FALSE)</f>
        <v>GVE 3</v>
      </c>
      <c r="Y9" s="55" t="str">
        <f>VLOOKUP($W9,'D27'!$K$37:$Q$52,3,FALSE)</f>
        <v>GVE3-D27-BB9</v>
      </c>
      <c r="Z9" s="46" t="str">
        <f>VLOOKUP($W9,'D27'!$K$37:$Q$52,7,FALSE)</f>
        <v/>
      </c>
      <c r="AA9" s="14" t="str">
        <f t="shared" si="3"/>
        <v/>
      </c>
    </row>
    <row r="10" spans="1:27" x14ac:dyDescent="0.45">
      <c r="A10" s="7"/>
      <c r="B10" s="8"/>
      <c r="C10" s="51"/>
      <c r="D10" s="11"/>
      <c r="E10" s="10"/>
      <c r="F10" s="19"/>
      <c r="G10" s="14"/>
      <c r="H10" s="14"/>
      <c r="I10" s="19"/>
      <c r="J10" s="14"/>
      <c r="K10" s="15"/>
      <c r="L10" s="14"/>
      <c r="M10" s="14"/>
      <c r="N10" s="19"/>
      <c r="O10" s="10"/>
      <c r="P10" s="14"/>
      <c r="Q10" s="10"/>
      <c r="R10" s="14"/>
      <c r="S10" s="14"/>
      <c r="T10" s="14"/>
      <c r="U10" s="14"/>
      <c r="V10" s="16"/>
      <c r="W10" s="21">
        <f t="shared" si="8"/>
        <v>9</v>
      </c>
      <c r="X10" s="55" t="str">
        <f>VLOOKUP($W10,'D27'!$K$37:$Q$52,2,FALSE)</f>
        <v>Radnor/Wayne 1</v>
      </c>
      <c r="Y10" s="55" t="str">
        <f>VLOOKUP($W10,'D27'!$K$37:$Q$52,3,FALSE)</f>
        <v>RW1-D27-BB9</v>
      </c>
      <c r="Z10" s="46" t="str">
        <f>VLOOKUP($W10,'D27'!$K$37:$Q$52,7,FALSE)</f>
        <v>R/W-Encke Park</v>
      </c>
      <c r="AA10" s="14">
        <f t="shared" si="3"/>
        <v>4</v>
      </c>
    </row>
    <row r="11" spans="1:27" x14ac:dyDescent="0.45">
      <c r="A11" s="7">
        <v>9</v>
      </c>
      <c r="B11" s="8">
        <f>+C11</f>
        <v>45823</v>
      </c>
      <c r="C11" s="51">
        <v>45823</v>
      </c>
      <c r="D11" s="11">
        <v>0.54166666666666663</v>
      </c>
      <c r="E11" s="10"/>
      <c r="F11" s="15" t="str" cm="1">
        <f t="array" aca="1" ref="F11" ca="1">IF((INDIRECT("SCHEDULE!P"&amp;S11))&gt;0,(IF((INDIRECT("SCHEDULE!G"&amp;S11))&lt;(INDIRECT("SCHEDULE!J"&amp;S11)),(INDIRECT("SCHEDULE!F"&amp;S11)),(INDIRECT("SCHEDULE!I"&amp;S11)))),R11)</f>
        <v>GVE 2</v>
      </c>
      <c r="G11" s="14">
        <v>24</v>
      </c>
      <c r="H11" s="14" t="s">
        <v>13</v>
      </c>
      <c r="I11" s="15" t="str" cm="1">
        <f t="array" aca="1" ref="I11" ca="1">IF((INDIRECT("SCHEDULE!P"&amp;T11))&gt;0,(IF((INDIRECT("SCHEDULE!G"&amp;T11))&lt;(INDIRECT("SCHEDULE!J"&amp;T11)),(INDIRECT("SCHEDULE!F"&amp;T11)),(INDIRECT("SCHEDULE!I"&amp;T11)))),U11)</f>
        <v>Chester Valley 2</v>
      </c>
      <c r="J11" s="14">
        <v>12</v>
      </c>
      <c r="K11" s="15"/>
      <c r="L11" s="14" t="s">
        <v>15</v>
      </c>
      <c r="M11" s="14" t="s">
        <v>120</v>
      </c>
      <c r="N11" s="19"/>
      <c r="O11" s="10"/>
      <c r="P11" s="14">
        <f>+G11+J11</f>
        <v>36</v>
      </c>
      <c r="Q11" s="10"/>
      <c r="R11" s="14" t="s">
        <v>80</v>
      </c>
      <c r="S11" s="14">
        <v>2</v>
      </c>
      <c r="T11" s="14">
        <v>3</v>
      </c>
      <c r="U11" s="14" t="s">
        <v>37</v>
      </c>
      <c r="V11" s="16"/>
      <c r="W11" s="21">
        <f t="shared" si="8"/>
        <v>10</v>
      </c>
      <c r="X11" s="55" t="str">
        <f>VLOOKUP($W11,'D27'!$K$37:$Q$52,2,FALSE)</f>
        <v>Lower Perk 1</v>
      </c>
      <c r="Y11" s="55" t="str">
        <f>VLOOKUP($W11,'D27'!$K$37:$Q$52,3,FALSE)</f>
        <v>LP1-D27-BB9</v>
      </c>
      <c r="Z11" s="46" t="str">
        <f>VLOOKUP($W11,'D27'!$K$37:$Q$52,7,FALSE)</f>
        <v>LP-Palmer Park</v>
      </c>
      <c r="AA11" s="14">
        <f t="shared" si="3"/>
        <v>2</v>
      </c>
    </row>
    <row r="12" spans="1:27" x14ac:dyDescent="0.45">
      <c r="A12" s="7">
        <v>10</v>
      </c>
      <c r="B12" s="8">
        <f>+C12</f>
        <v>45823</v>
      </c>
      <c r="C12" s="51">
        <v>45823</v>
      </c>
      <c r="D12" s="11">
        <v>0.625</v>
      </c>
      <c r="E12" s="10"/>
      <c r="F12" s="15" t="str" cm="1">
        <f t="array" aca="1" ref="F12" ca="1">IF((INDIRECT("SCHEDULE!P"&amp;S12))&gt;0,(IF((INDIRECT("SCHEDULE!G"&amp;S12))&lt;(INDIRECT("SCHEDULE!J"&amp;S12)),(INDIRECT("SCHEDULE!F"&amp;S12)),(INDIRECT("SCHEDULE!I"&amp;S12)))),R12)</f>
        <v>Lower Perk 2</v>
      </c>
      <c r="G12" s="14">
        <v>1</v>
      </c>
      <c r="H12" s="14" t="s">
        <v>13</v>
      </c>
      <c r="I12" s="15" t="str" cm="1">
        <f t="array" aca="1" ref="I12" ca="1">IF((INDIRECT("SCHEDULE!P"&amp;T12))&gt;0,(IF((INDIRECT("SCHEDULE!G"&amp;T12))&lt;(INDIRECT("SCHEDULE!J"&amp;T12)),(INDIRECT("SCHEDULE!F"&amp;T12)),(INDIRECT("SCHEDULE!I"&amp;T12)))),U12)</f>
        <v>Radnor/Wayne 2</v>
      </c>
      <c r="J12" s="14">
        <v>3</v>
      </c>
      <c r="K12" s="15"/>
      <c r="L12" s="14" t="s">
        <v>15</v>
      </c>
      <c r="M12" s="14" t="s">
        <v>120</v>
      </c>
      <c r="N12" s="19"/>
      <c r="O12" s="10"/>
      <c r="P12" s="14">
        <f>+G12+J12</f>
        <v>4</v>
      </c>
      <c r="Q12" s="10"/>
      <c r="R12" s="14" t="s">
        <v>81</v>
      </c>
      <c r="S12" s="14">
        <v>4</v>
      </c>
      <c r="T12" s="14">
        <v>5</v>
      </c>
      <c r="U12" s="14" t="s">
        <v>82</v>
      </c>
      <c r="V12" s="16"/>
      <c r="W12" s="21">
        <f t="shared" si="8"/>
        <v>11</v>
      </c>
      <c r="X12" s="55" t="str">
        <f>VLOOKUP($W12,'D27'!$K$37:$Q$52,2,FALSE)</f>
        <v>GVE 1</v>
      </c>
      <c r="Y12" s="55" t="str">
        <f>VLOOKUP($W12,'D27'!$K$37:$Q$52,3,FALSE)</f>
        <v>GVE1-D27-BB9</v>
      </c>
      <c r="Z12" s="46" t="str">
        <f>VLOOKUP($W12,'D27'!$K$37:$Q$52,7,FALSE)</f>
        <v>GV-King Road</v>
      </c>
      <c r="AA12" s="14">
        <f t="shared" si="3"/>
        <v>5</v>
      </c>
    </row>
    <row r="13" spans="1:27" x14ac:dyDescent="0.45">
      <c r="A13" s="7">
        <v>11</v>
      </c>
      <c r="B13" s="8">
        <f>+C13</f>
        <v>45823</v>
      </c>
      <c r="C13" s="51">
        <v>45823</v>
      </c>
      <c r="D13" s="11">
        <v>0.54166666666666663</v>
      </c>
      <c r="E13" s="10"/>
      <c r="F13" s="15" t="str" cm="1">
        <f t="array" aca="1" ref="F13" ca="1">IF((INDIRECT("SCHEDULE!P"&amp;S13))&gt;0,(IF((INDIRECT("SCHEDULE!G"&amp;S13))&lt;(INDIRECT("SCHEDULE!J"&amp;S13)),(INDIRECT("SCHEDULE!F"&amp;S13)),(INDIRECT("SCHEDULE!I"&amp;S13)))),R13)</f>
        <v>Devon/Strafford</v>
      </c>
      <c r="G13" s="14">
        <v>5</v>
      </c>
      <c r="H13" s="14" t="s">
        <v>13</v>
      </c>
      <c r="I13" s="15" t="str" cm="1">
        <f t="array" aca="1" ref="I13" ca="1">IF((INDIRECT("SCHEDULE!P"&amp;T13))&gt;0,(IF((INDIRECT("SCHEDULE!G"&amp;T13))&lt;(INDIRECT("SCHEDULE!J"&amp;T13)),(INDIRECT("SCHEDULE!F"&amp;T13)),(INDIRECT("SCHEDULE!I"&amp;T13)))),U13)</f>
        <v>Pottsgrove-Pottstown</v>
      </c>
      <c r="J13" s="14">
        <v>11</v>
      </c>
      <c r="K13" s="15"/>
      <c r="L13" s="14" t="s">
        <v>76</v>
      </c>
      <c r="M13" s="14" t="s">
        <v>120</v>
      </c>
      <c r="N13" s="19"/>
      <c r="O13" s="10"/>
      <c r="P13" s="14">
        <f>+G13+J13</f>
        <v>16</v>
      </c>
      <c r="Q13" s="10"/>
      <c r="R13" s="14" t="s">
        <v>83</v>
      </c>
      <c r="S13" s="14">
        <v>6</v>
      </c>
      <c r="T13" s="14">
        <v>7</v>
      </c>
      <c r="U13" s="14" t="s">
        <v>39</v>
      </c>
      <c r="V13" s="16"/>
      <c r="W13" s="21">
        <f t="shared" si="8"/>
        <v>12</v>
      </c>
      <c r="X13" s="55" t="str">
        <f>VLOOKUP($W13,'D27'!$K$37:$Q$52,2,FALSE)</f>
        <v>Chester Valley 1</v>
      </c>
      <c r="Y13" s="55" t="str">
        <f>VLOOKUP($W13,'D27'!$K$37:$Q$52,3,FALSE)</f>
        <v>CV1-D27-BB9</v>
      </c>
      <c r="Z13" s="46" t="str">
        <f>VLOOKUP($W13,'D27'!$K$37:$Q$52,7,FALSE)</f>
        <v>CV-Monument Park</v>
      </c>
      <c r="AA13" s="14">
        <f t="shared" si="3"/>
        <v>3</v>
      </c>
    </row>
    <row r="14" spans="1:27" x14ac:dyDescent="0.45">
      <c r="A14" s="7">
        <v>12</v>
      </c>
      <c r="B14" s="8">
        <f>+C14</f>
        <v>45823</v>
      </c>
      <c r="C14" s="51">
        <v>45823</v>
      </c>
      <c r="D14" s="11">
        <v>0.625</v>
      </c>
      <c r="E14" s="10"/>
      <c r="F14" s="15" t="str" cm="1">
        <f t="array" aca="1" ref="F14" ca="1">IF((INDIRECT("SCHEDULE!P"&amp;S14))&gt;0,(IF((INDIRECT("SCHEDULE!G"&amp;S14))&lt;(INDIRECT("SCHEDULE!J"&amp;S14)),(INDIRECT("SCHEDULE!F"&amp;S14)),(INDIRECT("SCHEDULE!I"&amp;S14)))),R14)</f>
        <v>Berwyn-Paoli</v>
      </c>
      <c r="G14" s="14">
        <v>9</v>
      </c>
      <c r="H14" s="14" t="s">
        <v>13</v>
      </c>
      <c r="I14" s="15" t="str" cm="1">
        <f t="array" aca="1" ref="I14" ca="1">IF((INDIRECT("SCHEDULE!P"&amp;T14))&gt;0,(IF((INDIRECT("SCHEDULE!G"&amp;T14))&lt;(INDIRECT("SCHEDULE!J"&amp;T14)),(INDIRECT("SCHEDULE!F"&amp;T14)),(INDIRECT("SCHEDULE!I"&amp;T14)))),U14)</f>
        <v>GVE 3</v>
      </c>
      <c r="J14" s="14">
        <v>10</v>
      </c>
      <c r="K14" s="15"/>
      <c r="L14" s="14" t="s">
        <v>76</v>
      </c>
      <c r="M14" s="14" t="s">
        <v>120</v>
      </c>
      <c r="N14" s="19"/>
      <c r="O14" s="10"/>
      <c r="P14" s="14">
        <f>+G14+J14</f>
        <v>19</v>
      </c>
      <c r="Q14" s="10"/>
      <c r="R14" s="14" t="s">
        <v>38</v>
      </c>
      <c r="S14" s="14">
        <v>8</v>
      </c>
      <c r="T14" s="14">
        <v>9</v>
      </c>
      <c r="U14" s="14" t="s">
        <v>84</v>
      </c>
      <c r="V14" s="16"/>
      <c r="W14" s="21">
        <f t="shared" si="8"/>
        <v>13</v>
      </c>
      <c r="X14" s="55" t="str">
        <f>VLOOKUP($W14,'D27'!$K$37:$Q$52,2,FALSE)</f>
        <v>Devon/Strafford</v>
      </c>
      <c r="Y14" s="55" t="str">
        <f>VLOOKUP($W14,'D27'!$K$37:$Q$52,3,FALSE)</f>
        <v>DS-D27-BB9</v>
      </c>
      <c r="Z14" s="46" t="str">
        <f>VLOOKUP($W14,'D27'!$K$37:$Q$52,7,FALSE)</f>
        <v>D/S-Clarke Field</v>
      </c>
      <c r="AA14" s="14">
        <f t="shared" si="3"/>
        <v>2</v>
      </c>
    </row>
    <row r="15" spans="1:27" x14ac:dyDescent="0.45">
      <c r="A15" s="7"/>
      <c r="B15" s="8"/>
      <c r="C15" s="51"/>
      <c r="D15" s="11"/>
      <c r="E15" s="10"/>
      <c r="F15" s="15"/>
      <c r="G15" s="14"/>
      <c r="H15" s="14"/>
      <c r="I15" s="15"/>
      <c r="J15" s="14"/>
      <c r="K15" s="15"/>
      <c r="L15" s="14"/>
      <c r="M15" s="14"/>
      <c r="N15" s="19"/>
      <c r="O15" s="10"/>
      <c r="P15" s="14"/>
      <c r="Q15" s="10"/>
      <c r="R15" s="14"/>
      <c r="S15" s="14"/>
      <c r="T15" s="14"/>
      <c r="U15" s="14"/>
      <c r="V15" s="16"/>
      <c r="W15" s="21">
        <f t="shared" si="8"/>
        <v>14</v>
      </c>
      <c r="X15" s="55" t="str">
        <f>VLOOKUP($W15,'D27'!$K$37:$Q$52,2,FALSE)</f>
        <v>Lower Merion</v>
      </c>
      <c r="Y15" s="55" t="str">
        <f>VLOOKUP($W15,'D27'!$K$37:$Q$52,3,FALSE)</f>
        <v>LM-D27-BB9</v>
      </c>
      <c r="Z15" s="46" t="str">
        <f>VLOOKUP($W15,'D27'!$K$37:$Q$52,7,FALSE)</f>
        <v>Lower Merion</v>
      </c>
      <c r="AA15" s="14">
        <f t="shared" si="3"/>
        <v>2</v>
      </c>
    </row>
    <row r="16" spans="1:27" x14ac:dyDescent="0.45">
      <c r="A16" s="7">
        <v>13</v>
      </c>
      <c r="B16" s="8">
        <f>+C16</f>
        <v>45823</v>
      </c>
      <c r="C16" s="51">
        <v>45823</v>
      </c>
      <c r="D16" s="11">
        <v>0.54166666666666663</v>
      </c>
      <c r="E16" s="10"/>
      <c r="F16" s="15" t="str" cm="1">
        <f t="array" aca="1" ref="F16" ca="1">IF((INDIRECT("SCHEDULE!P"&amp;S16))&gt;0,(IF((INDIRECT("SCHEDULE!G"&amp;S16))&gt;(INDIRECT("SCHEDULE!J"&amp;S16)),(INDIRECT("SCHEDULE!F"&amp;S16)),(INDIRECT("SCHEDULE!I"&amp;S16)))),R16)</f>
        <v>Radnor/Wayne 1</v>
      </c>
      <c r="G16" s="14">
        <v>9</v>
      </c>
      <c r="H16" s="14" t="s">
        <v>13</v>
      </c>
      <c r="I16" s="15" t="str" cm="1">
        <f t="array" aca="1" ref="I16" ca="1">IF((INDIRECT("SCHEDULE!P"&amp;T16))&gt;0,(IF((INDIRECT("SCHEDULE!G"&amp;T16))&gt;(INDIRECT("SCHEDULE!J"&amp;T16)),(INDIRECT("SCHEDULE!F"&amp;T16)),(INDIRECT("SCHEDULE!I"&amp;T16)))),U16)</f>
        <v>Lower Perk 1</v>
      </c>
      <c r="J16" s="14">
        <v>1</v>
      </c>
      <c r="K16" s="15"/>
      <c r="L16" s="14" t="s">
        <v>16</v>
      </c>
      <c r="M16" s="14" t="s">
        <v>120</v>
      </c>
      <c r="N16" s="19"/>
      <c r="O16" s="10"/>
      <c r="P16" s="14">
        <f>+G16+J16</f>
        <v>10</v>
      </c>
      <c r="Q16" s="10"/>
      <c r="R16" s="14" t="s">
        <v>17</v>
      </c>
      <c r="S16" s="14">
        <v>2</v>
      </c>
      <c r="T16" s="14">
        <v>3</v>
      </c>
      <c r="U16" s="14" t="s">
        <v>18</v>
      </c>
      <c r="V16" s="16"/>
      <c r="W16" s="21">
        <f t="shared" si="8"/>
        <v>15</v>
      </c>
      <c r="X16" s="55" t="str">
        <f>VLOOKUP($W16,'D27'!$K$37:$Q$52,2,FALSE)</f>
        <v>Berwyn-Paoli</v>
      </c>
      <c r="Y16" s="55" t="str">
        <f>VLOOKUP($W16,'D27'!$K$37:$Q$52,3,FALSE)</f>
        <v>BP-D27-BB9</v>
      </c>
      <c r="Z16" s="46" t="str">
        <f>VLOOKUP($W16,'D27'!$K$37:$Q$52,7,FALSE)</f>
        <v>BP-Field of Dreams</v>
      </c>
      <c r="AA16" s="14">
        <f t="shared" si="3"/>
        <v>3</v>
      </c>
    </row>
    <row r="17" spans="1:42" x14ac:dyDescent="0.45">
      <c r="A17" s="7">
        <v>14</v>
      </c>
      <c r="B17" s="8">
        <f>+C17</f>
        <v>45823</v>
      </c>
      <c r="C17" s="51">
        <v>45823</v>
      </c>
      <c r="D17" s="11">
        <v>0.625</v>
      </c>
      <c r="E17" s="10"/>
      <c r="F17" s="15" t="str" cm="1">
        <f t="array" aca="1" ref="F17" ca="1">IF((INDIRECT("SCHEDULE!P"&amp;S17))&gt;0,(IF((INDIRECT("SCHEDULE!G"&amp;S17))&gt;(INDIRECT("SCHEDULE!J"&amp;S17)),(INDIRECT("SCHEDULE!F"&amp;S17)),(INDIRECT("SCHEDULE!I"&amp;S17)))),R17)</f>
        <v>GVE 1</v>
      </c>
      <c r="G17" s="14">
        <v>7</v>
      </c>
      <c r="H17" s="14" t="s">
        <v>13</v>
      </c>
      <c r="I17" s="15" t="str" cm="1">
        <f t="array" aca="1" ref="I17" ca="1">IF((INDIRECT("SCHEDULE!P"&amp;T17))&gt;0,(IF((INDIRECT("SCHEDULE!G"&amp;T17))&gt;(INDIRECT("SCHEDULE!J"&amp;T17)),(INDIRECT("SCHEDULE!F"&amp;T17)),(INDIRECT("SCHEDULE!I"&amp;T17)))),U17)</f>
        <v>Chester Valley 1</v>
      </c>
      <c r="J17" s="14">
        <v>6</v>
      </c>
      <c r="K17" s="15"/>
      <c r="L17" s="14" t="s">
        <v>16</v>
      </c>
      <c r="M17" s="14" t="s">
        <v>120</v>
      </c>
      <c r="N17" s="19"/>
      <c r="O17" s="10"/>
      <c r="P17" s="14">
        <f>+G17+J17</f>
        <v>13</v>
      </c>
      <c r="Q17" s="10"/>
      <c r="R17" s="14" t="s">
        <v>19</v>
      </c>
      <c r="S17" s="14">
        <v>4</v>
      </c>
      <c r="T17" s="14">
        <v>5</v>
      </c>
      <c r="U17" s="14" t="s">
        <v>20</v>
      </c>
      <c r="V17" s="16"/>
      <c r="W17" s="21">
        <f t="shared" si="8"/>
        <v>16</v>
      </c>
      <c r="X17" s="55" t="str">
        <f>VLOOKUP($W17,'D27'!$K$37:$Q$52,2,FALSE)</f>
        <v>Upper Providence 1</v>
      </c>
      <c r="Y17" s="55" t="str">
        <f>VLOOKUP($W17,'D27'!$K$37:$Q$52,3,FALSE)</f>
        <v>UP1-D27-BB9</v>
      </c>
      <c r="Z17" s="46" t="str">
        <f>VLOOKUP($W17,'D27'!$K$37:$Q$52,7,FALSE)</f>
        <v>UP-MacFarlan Park</v>
      </c>
      <c r="AA17" s="14">
        <f t="shared" si="3"/>
        <v>4</v>
      </c>
    </row>
    <row r="18" spans="1:42" x14ac:dyDescent="0.45">
      <c r="A18" s="7">
        <v>15</v>
      </c>
      <c r="B18" s="8">
        <f>+C18</f>
        <v>45823</v>
      </c>
      <c r="C18" s="51">
        <v>45823</v>
      </c>
      <c r="D18" s="11">
        <v>0.54166666666666663</v>
      </c>
      <c r="E18" s="10"/>
      <c r="F18" s="15" t="str" cm="1">
        <f t="array" aca="1" ref="F18" ca="1">IF((INDIRECT("SCHEDULE!P"&amp;S18))&gt;0,(IF((INDIRECT("SCHEDULE!G"&amp;S18))&gt;(INDIRECT("SCHEDULE!J"&amp;S18)),(INDIRECT("SCHEDULE!F"&amp;S18)),(INDIRECT("SCHEDULE!I"&amp;S18)))),R18)</f>
        <v>Coventry</v>
      </c>
      <c r="G18" s="14">
        <v>3</v>
      </c>
      <c r="H18" s="14" t="s">
        <v>13</v>
      </c>
      <c r="I18" s="15" t="str" cm="1">
        <f t="array" aca="1" ref="I18" ca="1">IF((INDIRECT("SCHEDULE!P"&amp;T18))&gt;0,(IF((INDIRECT("SCHEDULE!G"&amp;T18))&gt;(INDIRECT("SCHEDULE!J"&amp;T18)),(INDIRECT("SCHEDULE!F"&amp;T18)),(INDIRECT("SCHEDULE!I"&amp;T18)))),U18)</f>
        <v>Lower Merion</v>
      </c>
      <c r="J18" s="14">
        <v>9</v>
      </c>
      <c r="K18" s="15"/>
      <c r="L18" s="14" t="s">
        <v>109</v>
      </c>
      <c r="M18" s="14" t="s">
        <v>120</v>
      </c>
      <c r="N18" s="19"/>
      <c r="O18" s="10"/>
      <c r="P18" s="14">
        <f>+G18+J18</f>
        <v>12</v>
      </c>
      <c r="Q18" s="10"/>
      <c r="R18" s="14" t="s">
        <v>21</v>
      </c>
      <c r="S18" s="14">
        <v>6</v>
      </c>
      <c r="T18" s="14">
        <v>7</v>
      </c>
      <c r="U18" s="14" t="s">
        <v>22</v>
      </c>
      <c r="V18" s="16"/>
      <c r="W18" s="14"/>
      <c r="X18" s="17"/>
      <c r="Y18" s="17"/>
      <c r="Z18" s="17"/>
      <c r="AA18" s="14" t="str">
        <f>IF(Z18="","",COUNTIF($L$2:$L$44,$Z18))</f>
        <v/>
      </c>
    </row>
    <row r="19" spans="1:42" x14ac:dyDescent="0.45">
      <c r="A19" s="7">
        <v>16</v>
      </c>
      <c r="B19" s="8">
        <f>+C19</f>
        <v>45823</v>
      </c>
      <c r="C19" s="51">
        <v>45823</v>
      </c>
      <c r="D19" s="11">
        <v>0.625</v>
      </c>
      <c r="E19" s="10"/>
      <c r="F19" s="15" t="str" cm="1">
        <f t="array" aca="1" ref="F19" ca="1">IF((INDIRECT("SCHEDULE!P"&amp;S19))&gt;0,(IF((INDIRECT("SCHEDULE!G"&amp;S19))&gt;(INDIRECT("SCHEDULE!J"&amp;S19)),(INDIRECT("SCHEDULE!F"&amp;S19)),(INDIRECT("SCHEDULE!I"&amp;S19)))),R19)</f>
        <v>Upper Providence 2</v>
      </c>
      <c r="G19" s="14">
        <v>2</v>
      </c>
      <c r="H19" s="14" t="s">
        <v>13</v>
      </c>
      <c r="I19" s="15" t="str" cm="1">
        <f t="array" aca="1" ref="I19" ca="1">IF((INDIRECT("SCHEDULE!P"&amp;T19))&gt;0,(IF((INDIRECT("SCHEDULE!G"&amp;T19))&gt;(INDIRECT("SCHEDULE!J"&amp;T19)),(INDIRECT("SCHEDULE!F"&amp;T19)),(INDIRECT("SCHEDULE!I"&amp;T19)))),U19)</f>
        <v>Upper Providence 1</v>
      </c>
      <c r="J19" s="14">
        <v>14</v>
      </c>
      <c r="K19" s="15"/>
      <c r="L19" s="14" t="s">
        <v>109</v>
      </c>
      <c r="M19" s="14" t="s">
        <v>120</v>
      </c>
      <c r="N19" s="19"/>
      <c r="O19" s="10"/>
      <c r="P19" s="14">
        <f>+G19+J19</f>
        <v>16</v>
      </c>
      <c r="Q19" s="10"/>
      <c r="R19" s="14" t="s">
        <v>23</v>
      </c>
      <c r="S19" s="14">
        <v>8</v>
      </c>
      <c r="T19" s="14">
        <v>9</v>
      </c>
      <c r="U19" s="14" t="s">
        <v>24</v>
      </c>
      <c r="V19" s="16"/>
      <c r="W19" s="14"/>
      <c r="X19" s="17"/>
      <c r="Y19" s="17"/>
      <c r="Z19" s="17"/>
      <c r="AA19" s="14" t="str">
        <f>IF(Z19="","",COUNTIF(#REF!,$Z19))</f>
        <v/>
      </c>
    </row>
    <row r="20" spans="1:42" x14ac:dyDescent="0.45">
      <c r="A20" s="7"/>
      <c r="B20" s="8"/>
      <c r="C20" s="51"/>
      <c r="D20" s="11"/>
      <c r="E20" s="10"/>
      <c r="F20" s="19"/>
      <c r="G20" s="14"/>
      <c r="H20" s="14"/>
      <c r="I20" s="19"/>
      <c r="J20" s="14"/>
      <c r="K20" s="15"/>
      <c r="L20" s="14"/>
      <c r="M20" s="14"/>
      <c r="N20" s="19"/>
      <c r="O20" s="10"/>
      <c r="P20" s="14"/>
      <c r="Q20" s="10"/>
      <c r="R20" s="14"/>
      <c r="S20" s="14"/>
      <c r="T20" s="14"/>
      <c r="U20" s="14"/>
      <c r="V20" s="16"/>
      <c r="W20" s="14"/>
      <c r="X20" s="17"/>
      <c r="Y20" s="17"/>
      <c r="Z20" s="17"/>
      <c r="AA20" s="14" t="str">
        <f>IF(Z20="","",COUNTIF(#REF!,$Z20))</f>
        <v/>
      </c>
    </row>
    <row r="21" spans="1:42" x14ac:dyDescent="0.45">
      <c r="A21" s="7">
        <v>17</v>
      </c>
      <c r="B21" s="8">
        <f>+C21</f>
        <v>45826</v>
      </c>
      <c r="C21" s="51">
        <v>45826</v>
      </c>
      <c r="D21" s="11">
        <v>0.75</v>
      </c>
      <c r="E21" s="10"/>
      <c r="F21" s="15" t="str" cm="1">
        <f t="array" aca="1" ref="F21" ca="1">IF((INDIRECT("SCHEDULE!P"&amp;S21))&gt;0,(IF((INDIRECT("SCHEDULE!G"&amp;S21))&lt;(INDIRECT("SCHEDULE!J"&amp;S21)),(INDIRECT("SCHEDULE!F"&amp;S21)),(INDIRECT("SCHEDULE!I"&amp;S21)))),R21)</f>
        <v>Upper Providence 2</v>
      </c>
      <c r="G21" s="14">
        <v>12</v>
      </c>
      <c r="H21" s="14" t="s">
        <v>13</v>
      </c>
      <c r="I21" s="15" t="str" cm="1">
        <f t="array" aca="1" ref="I21" ca="1">IF((INDIRECT("SCHEDULE!P"&amp;T21))&gt;0,(IF((INDIRECT("SCHEDULE!G"&amp;T21))&gt;(INDIRECT("SCHEDULE!J"&amp;T21)),(INDIRECT("SCHEDULE!F"&amp;T21)),(INDIRECT("SCHEDULE!I"&amp;T21)))),U21)</f>
        <v>GVE 2</v>
      </c>
      <c r="J21" s="14">
        <v>3</v>
      </c>
      <c r="K21" s="15"/>
      <c r="L21" s="14" t="s">
        <v>78</v>
      </c>
      <c r="M21" s="14" t="s">
        <v>120</v>
      </c>
      <c r="N21" s="19"/>
      <c r="O21" s="10"/>
      <c r="P21" s="14">
        <f>+G21+J21</f>
        <v>15</v>
      </c>
      <c r="Q21" s="10"/>
      <c r="R21" s="14" t="s">
        <v>85</v>
      </c>
      <c r="S21" s="14">
        <v>19</v>
      </c>
      <c r="T21" s="14">
        <v>11</v>
      </c>
      <c r="U21" s="14" t="s">
        <v>25</v>
      </c>
      <c r="V21" s="16"/>
      <c r="W21" s="21"/>
      <c r="X21" s="30" t="s">
        <v>32</v>
      </c>
      <c r="Y21" s="30"/>
      <c r="Z21" s="30"/>
      <c r="AA21" s="21">
        <f>SUM(AA2:AA20)</f>
        <v>31</v>
      </c>
    </row>
    <row r="22" spans="1:42" x14ac:dyDescent="0.45">
      <c r="A22" s="7">
        <v>18</v>
      </c>
      <c r="B22" s="8">
        <f>+C22</f>
        <v>45826</v>
      </c>
      <c r="C22" s="51">
        <v>45826</v>
      </c>
      <c r="D22" s="49">
        <v>0.83333333333333337</v>
      </c>
      <c r="E22" s="10"/>
      <c r="F22" s="15" t="str" cm="1">
        <f t="array" aca="1" ref="F22" ca="1">IF((INDIRECT("SCHEDULE!P"&amp;S22))&gt;0,(IF((INDIRECT("SCHEDULE!G"&amp;S22))&gt;(INDIRECT("SCHEDULE!J"&amp;S22)),(INDIRECT("SCHEDULE!F"&amp;S22)),(INDIRECT("SCHEDULE!I"&amp;S22)))),R22)</f>
        <v>Radnor/Wayne 2</v>
      </c>
      <c r="G22" s="14">
        <v>5</v>
      </c>
      <c r="H22" s="14" t="s">
        <v>13</v>
      </c>
      <c r="I22" s="15" t="str" cm="1">
        <f t="array" aca="1" ref="I22" ca="1">IF((INDIRECT("SCHEDULE!P"&amp;T22))&gt;0,(IF((INDIRECT("SCHEDULE!G"&amp;T22))&lt;(INDIRECT("SCHEDULE!J"&amp;T22)),(INDIRECT("SCHEDULE!F"&amp;T22)),(INDIRECT("SCHEDULE!I"&amp;T22)))),U22)</f>
        <v>Coventry</v>
      </c>
      <c r="J22" s="14">
        <v>18</v>
      </c>
      <c r="K22" s="15"/>
      <c r="L22" s="67" t="s">
        <v>75</v>
      </c>
      <c r="M22" s="14" t="s">
        <v>120</v>
      </c>
      <c r="N22" s="19"/>
      <c r="O22" s="10"/>
      <c r="P22" s="14">
        <f>+G22+J22</f>
        <v>23</v>
      </c>
      <c r="Q22" s="10"/>
      <c r="R22" s="14" t="s">
        <v>26</v>
      </c>
      <c r="S22" s="14">
        <v>12</v>
      </c>
      <c r="T22" s="14">
        <v>18</v>
      </c>
      <c r="U22" s="14" t="s">
        <v>86</v>
      </c>
      <c r="V22" s="16"/>
      <c r="X22" s="26"/>
      <c r="Y22" s="26"/>
      <c r="Z22" s="26"/>
      <c r="AA22" s="26"/>
    </row>
    <row r="23" spans="1:42" x14ac:dyDescent="0.45">
      <c r="A23" s="7">
        <v>19</v>
      </c>
      <c r="B23" s="8">
        <f>+C23</f>
        <v>45826</v>
      </c>
      <c r="C23" s="51">
        <v>45826</v>
      </c>
      <c r="D23" s="68">
        <v>0.83333333333333337</v>
      </c>
      <c r="E23" s="10"/>
      <c r="F23" s="15" t="str" cm="1">
        <f t="array" aca="1" ref="F23" ca="1">IF((INDIRECT("SCHEDULE!P"&amp;S23))&gt;0,(IF((INDIRECT("SCHEDULE!G"&amp;S23))&lt;(INDIRECT("SCHEDULE!J"&amp;S23)),(INDIRECT("SCHEDULE!F"&amp;S23)),(INDIRECT("SCHEDULE!I"&amp;S23)))),R23)</f>
        <v>Chester Valley 1</v>
      </c>
      <c r="G23" s="14">
        <v>16</v>
      </c>
      <c r="H23" s="14" t="s">
        <v>13</v>
      </c>
      <c r="I23" s="15" t="str" cm="1">
        <f t="array" aca="1" ref="I23" ca="1">IF((INDIRECT("SCHEDULE!P"&amp;T23))&gt;0,(IF((INDIRECT("SCHEDULE!G"&amp;T23))&gt;(INDIRECT("SCHEDULE!J"&amp;T23)),(INDIRECT("SCHEDULE!F"&amp;T23)),(INDIRECT("SCHEDULE!I"&amp;T23)))),U23)</f>
        <v>Pottsgrove-Pottstown</v>
      </c>
      <c r="J23" s="14">
        <v>2</v>
      </c>
      <c r="K23" s="15"/>
      <c r="L23" s="67" t="s">
        <v>78</v>
      </c>
      <c r="M23" s="14" t="s">
        <v>120</v>
      </c>
      <c r="N23" s="19"/>
      <c r="O23" s="10"/>
      <c r="P23" s="14">
        <f>+G23+J23</f>
        <v>18</v>
      </c>
      <c r="Q23" s="10"/>
      <c r="R23" s="14" t="s">
        <v>87</v>
      </c>
      <c r="S23" s="14">
        <v>17</v>
      </c>
      <c r="T23" s="14">
        <v>13</v>
      </c>
      <c r="U23" s="14" t="s">
        <v>27</v>
      </c>
      <c r="V23" s="16"/>
      <c r="X23" s="26"/>
      <c r="Y23" s="26"/>
      <c r="Z23" s="26"/>
      <c r="AA23" s="26"/>
    </row>
    <row r="24" spans="1:42" x14ac:dyDescent="0.45">
      <c r="A24" s="7">
        <v>20</v>
      </c>
      <c r="B24" s="8">
        <f>+C24</f>
        <v>45826</v>
      </c>
      <c r="C24" s="51">
        <v>45826</v>
      </c>
      <c r="D24" s="68">
        <v>0.75</v>
      </c>
      <c r="E24" s="10"/>
      <c r="F24" s="15" t="str" cm="1">
        <f t="array" aca="1" ref="F24" ca="1">IF((INDIRECT("SCHEDULE!P"&amp;S24))&gt;0,(IF((INDIRECT("SCHEDULE!G"&amp;S24))&gt;(INDIRECT("SCHEDULE!J"&amp;S24)),(INDIRECT("SCHEDULE!F"&amp;S24)),(INDIRECT("SCHEDULE!I"&amp;S24)))),R24)</f>
        <v>GVE 3</v>
      </c>
      <c r="G24" s="14">
        <v>5</v>
      </c>
      <c r="H24" s="14" t="s">
        <v>13</v>
      </c>
      <c r="I24" s="15" t="str" cm="1">
        <f t="array" aca="1" ref="I24" ca="1">IF((INDIRECT("SCHEDULE!P"&amp;T24))&gt;0,(IF((INDIRECT("SCHEDULE!G"&amp;T24))&lt;(INDIRECT("SCHEDULE!J"&amp;T24)),(INDIRECT("SCHEDULE!F"&amp;T24)),(INDIRECT("SCHEDULE!I"&amp;T24)))),U24)</f>
        <v>Lower Perk 1</v>
      </c>
      <c r="J24" s="14">
        <v>15</v>
      </c>
      <c r="K24" s="15"/>
      <c r="L24" s="14" t="s">
        <v>75</v>
      </c>
      <c r="M24" s="14" t="s">
        <v>120</v>
      </c>
      <c r="N24" s="19"/>
      <c r="O24" s="10"/>
      <c r="P24" s="14">
        <f>+G24+J24</f>
        <v>20</v>
      </c>
      <c r="Q24" s="10"/>
      <c r="R24" s="14" t="s">
        <v>28</v>
      </c>
      <c r="S24" s="14">
        <v>14</v>
      </c>
      <c r="T24" s="14">
        <v>16</v>
      </c>
      <c r="U24" s="14" t="s">
        <v>88</v>
      </c>
      <c r="V24" s="16"/>
      <c r="X24" s="26"/>
      <c r="Y24" s="26"/>
      <c r="Z24" s="26"/>
      <c r="AA24" s="26"/>
    </row>
    <row r="25" spans="1:42" x14ac:dyDescent="0.45">
      <c r="A25" s="7"/>
      <c r="B25" s="8"/>
      <c r="C25" s="51"/>
      <c r="D25" s="11"/>
      <c r="E25" s="10"/>
      <c r="F25" s="19"/>
      <c r="G25" s="14"/>
      <c r="H25" s="14"/>
      <c r="I25" s="19"/>
      <c r="J25" s="14"/>
      <c r="K25" s="15"/>
      <c r="L25" s="14"/>
      <c r="M25" s="14"/>
      <c r="N25" s="19"/>
      <c r="O25" s="10"/>
      <c r="P25" s="14"/>
      <c r="Q25" s="10"/>
      <c r="R25" s="14"/>
      <c r="S25" s="14"/>
      <c r="T25" s="14"/>
      <c r="U25" s="14"/>
      <c r="V25" s="16"/>
      <c r="W25" s="5" t="s">
        <v>9</v>
      </c>
      <c r="X25" s="5" t="s">
        <v>10</v>
      </c>
      <c r="Y25" s="5" t="s">
        <v>110</v>
      </c>
      <c r="Z25" s="5" t="s">
        <v>111</v>
      </c>
      <c r="AA25" s="26"/>
      <c r="AB25" s="16"/>
      <c r="AD25" s="26"/>
      <c r="AE25" s="26"/>
      <c r="AF25" s="26"/>
      <c r="AI25" s="26"/>
      <c r="AK25" s="26"/>
      <c r="AL25" s="26"/>
      <c r="AM25" s="26"/>
      <c r="AP25" s="26"/>
    </row>
    <row r="26" spans="1:42" x14ac:dyDescent="0.45">
      <c r="A26" s="7">
        <v>21</v>
      </c>
      <c r="B26" s="8">
        <f>+C26</f>
        <v>45829</v>
      </c>
      <c r="C26" s="51">
        <v>45829</v>
      </c>
      <c r="D26" s="11">
        <v>0.45833333333333331</v>
      </c>
      <c r="E26" s="10"/>
      <c r="F26" s="15" t="str" cm="1">
        <f t="array" aca="1" ref="F26" ca="1">IF((INDIRECT("SCHEDULE!P"&amp;S26))&gt;0,(IF((INDIRECT("SCHEDULE!G"&amp;S26))&gt;(INDIRECT("SCHEDULE!J"&amp;S26)),(INDIRECT("SCHEDULE!F"&amp;S26)),(INDIRECT("SCHEDULE!I"&amp;S26)))),R26)</f>
        <v>Radnor/Wayne 1</v>
      </c>
      <c r="G26" s="14">
        <v>2</v>
      </c>
      <c r="H26" s="14" t="s">
        <v>13</v>
      </c>
      <c r="I26" s="15" t="str" cm="1">
        <f t="array" aca="1" ref="I26" ca="1">IF((INDIRECT("SCHEDULE!P"&amp;T26))&gt;0,(IF((INDIRECT("SCHEDULE!G"&amp;T26))&gt;(INDIRECT("SCHEDULE!J"&amp;T26)),(INDIRECT("SCHEDULE!F"&amp;T26)),(INDIRECT("SCHEDULE!I"&amp;T26)))),U26)</f>
        <v>GVE 1</v>
      </c>
      <c r="J26" s="14">
        <v>6</v>
      </c>
      <c r="K26" s="15"/>
      <c r="L26" s="67" t="s">
        <v>145</v>
      </c>
      <c r="M26" s="14" t="s">
        <v>120</v>
      </c>
      <c r="N26" s="19"/>
      <c r="O26" s="10"/>
      <c r="P26" s="14">
        <f>+G26+J26</f>
        <v>8</v>
      </c>
      <c r="Q26" s="10"/>
      <c r="R26" s="14" t="s">
        <v>29</v>
      </c>
      <c r="S26" s="14">
        <v>16</v>
      </c>
      <c r="T26" s="14">
        <v>17</v>
      </c>
      <c r="U26" s="14" t="s">
        <v>30</v>
      </c>
      <c r="V26" s="16"/>
      <c r="W26" s="21">
        <f>+W2</f>
        <v>1</v>
      </c>
      <c r="X26" s="55" t="str">
        <f>+X2</f>
        <v>GVE 2</v>
      </c>
      <c r="Y26" s="46" t="str">
        <f>VLOOKUP($W26,'D27'!$K$37:$Q$52,4,FALSE)</f>
        <v>Michael Morabito</v>
      </c>
      <c r="Z26" s="46" t="str">
        <f>VLOOKUP($W26,'D27'!$K$37:$Q$52,5,FALSE)</f>
        <v>michaelmorabito@gmail.com</v>
      </c>
      <c r="AB26" s="16"/>
    </row>
    <row r="27" spans="1:42" x14ac:dyDescent="0.45">
      <c r="A27" s="7">
        <v>22</v>
      </c>
      <c r="B27" s="8">
        <f>+C27</f>
        <v>45829</v>
      </c>
      <c r="C27" s="51">
        <v>45829</v>
      </c>
      <c r="D27" s="11">
        <v>0.54166666666666663</v>
      </c>
      <c r="E27" s="10"/>
      <c r="F27" s="15" t="str" cm="1">
        <f t="array" aca="1" ref="F27" ca="1">IF((INDIRECT("SCHEDULE!P"&amp;S27))&gt;0,(IF((INDIRECT("SCHEDULE!G"&amp;S27))&gt;(INDIRECT("SCHEDULE!J"&amp;S27)),(INDIRECT("SCHEDULE!F"&amp;S27)),(INDIRECT("SCHEDULE!I"&amp;S27)))),R27)</f>
        <v>Lower Merion</v>
      </c>
      <c r="G27" s="14">
        <v>5</v>
      </c>
      <c r="H27" s="14" t="s">
        <v>13</v>
      </c>
      <c r="I27" s="15" t="str" cm="1">
        <f t="array" aca="1" ref="I27" ca="1">IF((INDIRECT("SCHEDULE!P"&amp;T27))&gt;0,(IF((INDIRECT("SCHEDULE!G"&amp;T27))&gt;(INDIRECT("SCHEDULE!J"&amp;T27)),(INDIRECT("SCHEDULE!F"&amp;T27)),(INDIRECT("SCHEDULE!I"&amp;T27)))),U27)</f>
        <v>Upper Providence 1</v>
      </c>
      <c r="J27" s="14">
        <v>11</v>
      </c>
      <c r="K27" s="15"/>
      <c r="L27" s="14" t="s">
        <v>109</v>
      </c>
      <c r="M27" s="14" t="s">
        <v>120</v>
      </c>
      <c r="N27" s="19"/>
      <c r="O27" s="10"/>
      <c r="P27" s="14">
        <f>+G27+J27</f>
        <v>16</v>
      </c>
      <c r="Q27" s="10"/>
      <c r="R27" s="14" t="s">
        <v>89</v>
      </c>
      <c r="S27" s="14">
        <v>18</v>
      </c>
      <c r="T27" s="14">
        <v>19</v>
      </c>
      <c r="U27" s="14" t="s">
        <v>90</v>
      </c>
      <c r="V27" s="16"/>
      <c r="W27" s="21">
        <f t="shared" ref="W27:W41" si="9">+W3</f>
        <v>2</v>
      </c>
      <c r="X27" s="55" t="str">
        <f>VLOOKUP($W27,'D27'!$K$37:$Q$52,2,FALSE)</f>
        <v>Chester Valley 2</v>
      </c>
      <c r="Y27" s="46" t="str">
        <f>VLOOKUP($W27,'D27'!$K$37:$Q$52,4,FALSE)</f>
        <v>Christian Arena</v>
      </c>
      <c r="Z27" s="46" t="str">
        <f>VLOOKUP($W27,'D27'!$K$37:$Q$52,5,FALSE)</f>
        <v xml:space="preserve">arena10911@gmail.com </v>
      </c>
      <c r="AB27" s="16"/>
    </row>
    <row r="28" spans="1:42" x14ac:dyDescent="0.45">
      <c r="A28" s="7">
        <v>23</v>
      </c>
      <c r="B28" s="8">
        <f>+C28</f>
        <v>45829</v>
      </c>
      <c r="C28" s="51">
        <v>45829</v>
      </c>
      <c r="D28" s="11">
        <v>0.45833333333333331</v>
      </c>
      <c r="E28" s="10"/>
      <c r="F28" s="15" t="str" cm="1">
        <f t="array" aca="1" ref="F28" ca="1">IF((INDIRECT("SCHEDULE!P"&amp;S28))&gt;0,(IF((INDIRECT("SCHEDULE!G"&amp;S28))&gt;(INDIRECT("SCHEDULE!J"&amp;S28)),(INDIRECT("SCHEDULE!F"&amp;S28)),(INDIRECT("SCHEDULE!I"&amp;S28)))),R28)</f>
        <v>Upper Providence 2</v>
      </c>
      <c r="G28" s="14">
        <v>1</v>
      </c>
      <c r="H28" s="14" t="s">
        <v>13</v>
      </c>
      <c r="I28" s="15" t="str" cm="1">
        <f t="array" aca="1" ref="I28" ca="1">IF((INDIRECT("SCHEDULE!P"&amp;T28))&gt;0,(IF((INDIRECT("SCHEDULE!G"&amp;T28))&gt;(INDIRECT("SCHEDULE!J"&amp;T28)),(INDIRECT("SCHEDULE!F"&amp;T28)),(INDIRECT("SCHEDULE!I"&amp;T28)))),U28)</f>
        <v>Coventry</v>
      </c>
      <c r="J28" s="14">
        <v>9</v>
      </c>
      <c r="K28" s="15"/>
      <c r="L28" s="67" t="s">
        <v>109</v>
      </c>
      <c r="M28" s="14" t="s">
        <v>120</v>
      </c>
      <c r="N28" s="19"/>
      <c r="O28" s="10"/>
      <c r="P28" s="14">
        <f>+G28+J28</f>
        <v>10</v>
      </c>
      <c r="Q28" s="10"/>
      <c r="R28" s="14" t="s">
        <v>91</v>
      </c>
      <c r="S28" s="14">
        <v>21</v>
      </c>
      <c r="T28" s="14">
        <v>22</v>
      </c>
      <c r="U28" s="14" t="s">
        <v>92</v>
      </c>
      <c r="V28" s="16"/>
      <c r="W28" s="21">
        <f t="shared" si="9"/>
        <v>3</v>
      </c>
      <c r="X28" s="55" t="str">
        <f>VLOOKUP($W28,'D27'!$K$37:$Q$52,2,FALSE)</f>
        <v>Lower Perk 2</v>
      </c>
      <c r="Y28" s="46" t="str">
        <f>VLOOKUP($W28,'D27'!$K$37:$Q$52,4,FALSE)</f>
        <v>Chris Brower</v>
      </c>
      <c r="Z28" s="65" t="s">
        <v>164</v>
      </c>
      <c r="AB28" s="16"/>
    </row>
    <row r="29" spans="1:42" x14ac:dyDescent="0.45">
      <c r="A29" s="7">
        <v>24</v>
      </c>
      <c r="B29" s="8">
        <f>+C29</f>
        <v>45829</v>
      </c>
      <c r="C29" s="51">
        <v>45829</v>
      </c>
      <c r="D29" s="11">
        <v>0.54166666666666663</v>
      </c>
      <c r="E29" s="10"/>
      <c r="F29" s="15" t="str" cm="1">
        <f t="array" aca="1" ref="F29" ca="1">IF((INDIRECT("SCHEDULE!P"&amp;S29))&gt;0,(IF((INDIRECT("SCHEDULE!G"&amp;S29))&gt;(INDIRECT("SCHEDULE!J"&amp;S29)),(INDIRECT("SCHEDULE!F"&amp;S29)),(INDIRECT("SCHEDULE!I"&amp;S29)))),R29)</f>
        <v>Chester Valley 1</v>
      </c>
      <c r="G29" s="14">
        <v>2</v>
      </c>
      <c r="H29" s="14" t="s">
        <v>13</v>
      </c>
      <c r="I29" s="15" t="str" cm="1">
        <f t="array" aca="1" ref="I29" ca="1">IF((INDIRECT("SCHEDULE!P"&amp;T29))&gt;0,(IF((INDIRECT("SCHEDULE!G"&amp;T29))&gt;(INDIRECT("SCHEDULE!J"&amp;T29)),(INDIRECT("SCHEDULE!F"&amp;T29)),(INDIRECT("SCHEDULE!I"&amp;T29)))),U29)</f>
        <v>Lower Perk 1</v>
      </c>
      <c r="J29" s="14">
        <v>3</v>
      </c>
      <c r="K29" s="15"/>
      <c r="L29" s="38" t="s">
        <v>145</v>
      </c>
      <c r="M29" s="14" t="s">
        <v>120</v>
      </c>
      <c r="N29" s="19"/>
      <c r="O29" s="10"/>
      <c r="P29" s="14">
        <f>+G29+J29</f>
        <v>5</v>
      </c>
      <c r="Q29" s="10"/>
      <c r="R29" s="14" t="s">
        <v>93</v>
      </c>
      <c r="S29" s="14">
        <v>23</v>
      </c>
      <c r="T29" s="14">
        <v>24</v>
      </c>
      <c r="U29" s="14" t="s">
        <v>94</v>
      </c>
      <c r="V29" s="16"/>
      <c r="W29" s="21">
        <f t="shared" si="9"/>
        <v>4</v>
      </c>
      <c r="X29" s="55" t="str">
        <f>VLOOKUP($W29,'D27'!$K$37:$Q$52,2,FALSE)</f>
        <v>Radnor/Wayne 2</v>
      </c>
      <c r="Y29" s="46" t="str">
        <f>VLOOKUP($W29,'D27'!$K$37:$Q$52,4,FALSE)</f>
        <v>Nate Parkyn</v>
      </c>
      <c r="Z29" s="46" t="str">
        <f>VLOOKUP($W29,'D27'!$K$37:$Q$52,5,FALSE)</f>
        <v>natep.rwll@gmail.com</v>
      </c>
      <c r="AB29" s="16"/>
    </row>
    <row r="30" spans="1:42" x14ac:dyDescent="0.45">
      <c r="A30" s="7"/>
      <c r="B30" s="8"/>
      <c r="C30" s="51"/>
      <c r="D30" s="11"/>
      <c r="E30" s="10"/>
      <c r="F30" s="19"/>
      <c r="G30" s="14"/>
      <c r="H30" s="14"/>
      <c r="I30" s="19"/>
      <c r="J30" s="14"/>
      <c r="K30" s="15"/>
      <c r="L30" s="14"/>
      <c r="M30" s="14"/>
      <c r="N30" s="19"/>
      <c r="O30" s="10"/>
      <c r="P30" s="14"/>
      <c r="Q30" s="10"/>
      <c r="R30" s="14"/>
      <c r="S30" s="14"/>
      <c r="T30" s="14"/>
      <c r="U30" s="14"/>
      <c r="V30" s="16"/>
      <c r="W30" s="21">
        <f t="shared" si="9"/>
        <v>5</v>
      </c>
      <c r="X30" s="55" t="str">
        <f>VLOOKUP($W30,'D27'!$K$37:$Q$52,2,FALSE)</f>
        <v>Coventry</v>
      </c>
      <c r="Y30" s="46" t="str">
        <f>VLOOKUP($W30,'D27'!$K$37:$Q$52,4,FALSE)</f>
        <v>Marc Brown</v>
      </c>
      <c r="Z30" s="46" t="str">
        <f>VLOOKUP($W30,'D27'!$K$37:$Q$52,5,FALSE)</f>
        <v>marc_brown@live.com</v>
      </c>
      <c r="AB30" s="16"/>
    </row>
    <row r="31" spans="1:42" x14ac:dyDescent="0.45">
      <c r="A31" s="7">
        <v>25</v>
      </c>
      <c r="B31" s="8">
        <f>+C31</f>
        <v>45831</v>
      </c>
      <c r="C31" s="51">
        <v>45831</v>
      </c>
      <c r="D31" s="11">
        <v>0.75</v>
      </c>
      <c r="E31" s="10"/>
      <c r="F31" s="15" t="str" cm="1">
        <f t="array" aca="1" ref="F31" ca="1">IF((INDIRECT("SCHEDULE!P"&amp;S31))&gt;0,(IF((INDIRECT("SCHEDULE!G"&amp;S31))&lt;(INDIRECT("SCHEDULE!J"&amp;S31)),(INDIRECT("SCHEDULE!F"&amp;S31)),(INDIRECT("SCHEDULE!I"&amp;S31)))),R31)</f>
        <v>Lower Merion</v>
      </c>
      <c r="G31" s="14">
        <v>12</v>
      </c>
      <c r="H31" s="14" t="s">
        <v>13</v>
      </c>
      <c r="I31" s="15" t="str" cm="1">
        <f t="array" aca="1" ref="I31" ca="1">IF((INDIRECT("SCHEDULE!P"&amp;T31))&gt;0,(IF((INDIRECT("SCHEDULE!G"&amp;T31))&gt;(INDIRECT("SCHEDULE!J"&amp;T31)),(INDIRECT("SCHEDULE!F"&amp;T31)),(INDIRECT("SCHEDULE!I"&amp;T31)))),U31)</f>
        <v>Lower Perk 1</v>
      </c>
      <c r="J31" s="14">
        <v>1</v>
      </c>
      <c r="K31" s="15"/>
      <c r="L31" s="14" t="s">
        <v>167</v>
      </c>
      <c r="M31" s="14" t="s">
        <v>120</v>
      </c>
      <c r="N31" s="19"/>
      <c r="O31" s="10"/>
      <c r="P31" s="14">
        <f>+G31+J31</f>
        <v>13</v>
      </c>
      <c r="Q31" s="10"/>
      <c r="R31" s="14" t="s">
        <v>95</v>
      </c>
      <c r="S31" s="14">
        <v>27</v>
      </c>
      <c r="T31" s="14">
        <v>29</v>
      </c>
      <c r="U31" s="14" t="s">
        <v>96</v>
      </c>
      <c r="V31" s="16"/>
      <c r="W31" s="21">
        <f t="shared" si="9"/>
        <v>6</v>
      </c>
      <c r="X31" s="55" t="str">
        <f>VLOOKUP($W31,'D27'!$K$37:$Q$52,2,FALSE)</f>
        <v>Pottsgrove-Pottstown</v>
      </c>
      <c r="Y31" s="46" t="str">
        <f>VLOOKUP($W31,'D27'!$K$37:$Q$52,4,FALSE)</f>
        <v>Joe Houseal</v>
      </c>
      <c r="Z31" s="46" t="str">
        <f>VLOOKUP($W31,'D27'!$K$37:$Q$52,5,FALSE)</f>
        <v>Jhouseal1221@yahoo.com</v>
      </c>
      <c r="AB31" s="16"/>
    </row>
    <row r="32" spans="1:42" x14ac:dyDescent="0.45">
      <c r="A32" s="7">
        <v>26</v>
      </c>
      <c r="B32" s="8">
        <f>+C32</f>
        <v>45831</v>
      </c>
      <c r="C32" s="51">
        <v>45831</v>
      </c>
      <c r="D32" s="49">
        <v>0.83333333333333337</v>
      </c>
      <c r="E32" s="10"/>
      <c r="F32" s="15" t="str" cm="1">
        <f t="array" aca="1" ref="F32" ca="1">IF((INDIRECT("SCHEDULE!P"&amp;S32))&gt;0,(IF((INDIRECT("SCHEDULE!G"&amp;S32))&lt;(INDIRECT("SCHEDULE!J"&amp;S32)),(INDIRECT("SCHEDULE!F"&amp;S32)),(INDIRECT("SCHEDULE!I"&amp;S32)))),R32)</f>
        <v>Radnor/Wayne 1</v>
      </c>
      <c r="G32" s="14">
        <v>6</v>
      </c>
      <c r="H32" s="14" t="s">
        <v>13</v>
      </c>
      <c r="I32" s="15" t="str" cm="1">
        <f t="array" aca="1" ref="I32" ca="1">IF((INDIRECT("SCHEDULE!P"&amp;T32))&gt;0,(IF((INDIRECT("SCHEDULE!G"&amp;T32))&gt;(INDIRECT("SCHEDULE!J"&amp;T32)),(INDIRECT("SCHEDULE!F"&amp;T32)),(INDIRECT("SCHEDULE!I"&amp;T32)))),U32)</f>
        <v>Coventry</v>
      </c>
      <c r="J32" s="14">
        <v>16</v>
      </c>
      <c r="K32" s="15"/>
      <c r="L32" s="14" t="s">
        <v>167</v>
      </c>
      <c r="M32" s="14" t="s">
        <v>120</v>
      </c>
      <c r="N32" s="19"/>
      <c r="O32" s="10"/>
      <c r="P32" s="14">
        <f>+G32+J32</f>
        <v>22</v>
      </c>
      <c r="Q32" s="10"/>
      <c r="R32" s="14" t="s">
        <v>97</v>
      </c>
      <c r="S32" s="14">
        <v>26</v>
      </c>
      <c r="T32" s="14">
        <v>28</v>
      </c>
      <c r="U32" s="14" t="s">
        <v>98</v>
      </c>
      <c r="V32" s="16"/>
      <c r="W32" s="21">
        <f t="shared" si="9"/>
        <v>7</v>
      </c>
      <c r="X32" s="55" t="str">
        <f>VLOOKUP($W32,'D27'!$K$37:$Q$52,2,FALSE)</f>
        <v>Upper Providence 2</v>
      </c>
      <c r="Y32" s="46" t="str">
        <f>VLOOKUP($W32,'D27'!$K$37:$Q$52,4,FALSE)</f>
        <v>Jim Andrezejewski</v>
      </c>
      <c r="Z32" s="46" t="str">
        <f>VLOOKUP($W32,'D27'!$K$37:$Q$52,5,FALSE)</f>
        <v>james.andrzejewski@gmail.com</v>
      </c>
      <c r="AB32" s="16"/>
    </row>
    <row r="33" spans="1:28" x14ac:dyDescent="0.45">
      <c r="A33" s="7"/>
      <c r="B33" s="8"/>
      <c r="C33" s="51"/>
      <c r="D33" s="11"/>
      <c r="E33" s="10"/>
      <c r="F33" s="15"/>
      <c r="G33" s="14"/>
      <c r="H33" s="14"/>
      <c r="I33" s="15"/>
      <c r="J33" s="14"/>
      <c r="K33" s="15"/>
      <c r="L33" s="14"/>
      <c r="M33" s="14"/>
      <c r="N33" s="19"/>
      <c r="O33" s="10"/>
      <c r="P33" s="14"/>
      <c r="Q33" s="10"/>
      <c r="R33" s="14"/>
      <c r="S33" s="14"/>
      <c r="T33" s="14"/>
      <c r="U33" s="14"/>
      <c r="V33" s="16"/>
      <c r="W33" s="21">
        <f t="shared" si="9"/>
        <v>8</v>
      </c>
      <c r="X33" s="55" t="str">
        <f>VLOOKUP($W33,'D27'!$K$37:$Q$52,2,FALSE)</f>
        <v>GVE 3</v>
      </c>
      <c r="Y33" s="46" t="str">
        <f>VLOOKUP($W33,'D27'!$K$37:$Q$52,4,FALSE)</f>
        <v>Mike Reinking</v>
      </c>
      <c r="Z33" s="46" t="str">
        <f>VLOOKUP($W33,'D27'!$K$37:$Q$52,5,FALSE)</f>
        <v>mike@mediaoneproducts.com</v>
      </c>
      <c r="AB33" s="16"/>
    </row>
    <row r="34" spans="1:28" x14ac:dyDescent="0.45">
      <c r="A34" s="7">
        <v>27</v>
      </c>
      <c r="B34" s="47">
        <f>+C34</f>
        <v>45832</v>
      </c>
      <c r="C34" s="52">
        <v>45832</v>
      </c>
      <c r="D34" s="11">
        <v>0.75</v>
      </c>
      <c r="E34" s="10"/>
      <c r="F34" s="15" t="str" cm="1">
        <f t="array" aca="1" ref="F34" ca="1">IF((INDIRECT("SCHEDULE!P"&amp;S34))&gt;0,(IF((INDIRECT("SCHEDULE!G"&amp;S34))&gt;(INDIRECT("SCHEDULE!J"&amp;S34)),(INDIRECT("SCHEDULE!F"&amp;S34)),(INDIRECT("SCHEDULE!I"&amp;S34)))),R34)</f>
        <v>GVE 1</v>
      </c>
      <c r="G34" s="14">
        <v>2</v>
      </c>
      <c r="H34" s="14" t="s">
        <v>13</v>
      </c>
      <c r="I34" s="15" t="str" cm="1">
        <f t="array" aca="1" ref="I34" ca="1">IF((INDIRECT("SCHEDULE!P"&amp;T34))&gt;0,(IF((INDIRECT("SCHEDULE!G"&amp;T34))&gt;(INDIRECT("SCHEDULE!J"&amp;T34)),(INDIRECT("SCHEDULE!F"&amp;T34)),(INDIRECT("SCHEDULE!I"&amp;T34)))),U34)</f>
        <v>Upper Providence 1</v>
      </c>
      <c r="J34" s="14">
        <v>12</v>
      </c>
      <c r="K34" s="15"/>
      <c r="L34" s="14" t="s">
        <v>76</v>
      </c>
      <c r="M34" s="14" t="s">
        <v>120</v>
      </c>
      <c r="N34" s="19"/>
      <c r="O34" s="10"/>
      <c r="P34" s="14">
        <f>+G34+J34</f>
        <v>14</v>
      </c>
      <c r="Q34" s="10"/>
      <c r="R34" s="14" t="s">
        <v>99</v>
      </c>
      <c r="S34" s="14">
        <v>26</v>
      </c>
      <c r="T34" s="14">
        <v>27</v>
      </c>
      <c r="U34" s="14" t="s">
        <v>100</v>
      </c>
      <c r="V34" s="16"/>
      <c r="W34" s="21">
        <f t="shared" si="9"/>
        <v>9</v>
      </c>
      <c r="X34" s="55" t="str">
        <f>VLOOKUP($W34,'D27'!$K$37:$Q$52,2,FALSE)</f>
        <v>Radnor/Wayne 1</v>
      </c>
      <c r="Y34" s="46" t="str">
        <f>VLOOKUP($W34,'D27'!$K$37:$Q$52,4,FALSE)</f>
        <v>Mike Frascella</v>
      </c>
      <c r="Z34" s="46" t="str">
        <f>VLOOKUP($W34,'D27'!$K$37:$Q$52,5,FALSE)</f>
        <v>stfrazz@gmail.com</v>
      </c>
      <c r="AB34" s="16"/>
    </row>
    <row r="35" spans="1:28" x14ac:dyDescent="0.45">
      <c r="A35" s="7"/>
      <c r="B35" s="8"/>
      <c r="C35" s="51"/>
      <c r="D35" s="11"/>
      <c r="E35" s="10"/>
      <c r="F35" s="19"/>
      <c r="G35" s="14"/>
      <c r="H35" s="14"/>
      <c r="I35" s="19"/>
      <c r="J35" s="14"/>
      <c r="K35" s="15"/>
      <c r="L35" s="14"/>
      <c r="M35" s="14"/>
      <c r="N35" s="19"/>
      <c r="O35" s="10"/>
      <c r="P35" s="14"/>
      <c r="Q35" s="10"/>
      <c r="R35" s="14"/>
      <c r="S35" s="14"/>
      <c r="T35" s="14"/>
      <c r="U35" s="14"/>
      <c r="V35" s="16"/>
      <c r="W35" s="21">
        <f t="shared" si="9"/>
        <v>10</v>
      </c>
      <c r="X35" s="55" t="str">
        <f>VLOOKUP($W35,'D27'!$K$37:$Q$52,2,FALSE)</f>
        <v>Lower Perk 1</v>
      </c>
      <c r="Y35" s="46" t="str">
        <f>VLOOKUP($W35,'D27'!$K$37:$Q$52,4,FALSE)</f>
        <v>Stephen Viccica</v>
      </c>
      <c r="Z35" s="46" t="str">
        <f>VLOOKUP($W35,'D27'!$K$37:$Q$52,5,FALSE)</f>
        <v>sviccica@gmail.com</v>
      </c>
      <c r="AB35" s="16"/>
    </row>
    <row r="36" spans="1:28" x14ac:dyDescent="0.45">
      <c r="A36" s="7">
        <v>28</v>
      </c>
      <c r="B36" s="8">
        <f>+C36</f>
        <v>45833</v>
      </c>
      <c r="C36" s="51">
        <v>45833</v>
      </c>
      <c r="D36" s="11">
        <v>0.75</v>
      </c>
      <c r="E36" s="10"/>
      <c r="F36" s="15" t="str" cm="1">
        <f t="array" aca="1" ref="F36" ca="1">IF((INDIRECT("SCHEDULE!P"&amp;S36))&gt;0,(IF((INDIRECT("SCHEDULE!G"&amp;S36))&gt;(INDIRECT("SCHEDULE!J"&amp;S36)),(INDIRECT("SCHEDULE!F"&amp;S36)),(INDIRECT("SCHEDULE!I"&amp;S36)))),R36)</f>
        <v>Coventry</v>
      </c>
      <c r="G36" s="14">
        <v>7</v>
      </c>
      <c r="H36" s="14" t="s">
        <v>13</v>
      </c>
      <c r="I36" s="15" t="str" cm="1">
        <f t="array" aca="1" ref="I36" ca="1">IF((INDIRECT("SCHEDULE!P"&amp;T36))&gt;0,(IF((INDIRECT("SCHEDULE!G"&amp;T36))&gt;(INDIRECT("SCHEDULE!J"&amp;T36)),(INDIRECT("SCHEDULE!F"&amp;T36)),(INDIRECT("SCHEDULE!I"&amp;T36)))),U36)</f>
        <v>Lower Merion</v>
      </c>
      <c r="J36" s="14">
        <v>2</v>
      </c>
      <c r="K36" s="15"/>
      <c r="L36" s="14" t="s">
        <v>16</v>
      </c>
      <c r="M36" s="14" t="s">
        <v>120</v>
      </c>
      <c r="N36" s="19"/>
      <c r="O36" s="10"/>
      <c r="P36" s="14">
        <f>+G36+J36</f>
        <v>9</v>
      </c>
      <c r="Q36" s="10"/>
      <c r="R36" s="14" t="s">
        <v>101</v>
      </c>
      <c r="S36" s="14">
        <v>32</v>
      </c>
      <c r="T36" s="14">
        <v>31</v>
      </c>
      <c r="U36" s="14" t="s">
        <v>102</v>
      </c>
      <c r="V36" s="16"/>
      <c r="W36" s="21">
        <f t="shared" si="9"/>
        <v>11</v>
      </c>
      <c r="X36" s="55" t="str">
        <f>VLOOKUP($W36,'D27'!$K$37:$Q$52,2,FALSE)</f>
        <v>GVE 1</v>
      </c>
      <c r="Y36" s="46" t="str">
        <f>VLOOKUP($W36,'D27'!$K$37:$Q$52,4,FALSE)</f>
        <v>Matt Heintz</v>
      </c>
      <c r="Z36" s="46" t="str">
        <f>VLOOKUP($W36,'D27'!$K$37:$Q$52,5,FALSE)</f>
        <v>heintz14@gmail.com</v>
      </c>
      <c r="AB36" s="16"/>
    </row>
    <row r="37" spans="1:28" x14ac:dyDescent="0.45">
      <c r="A37" s="7"/>
      <c r="B37" s="8"/>
      <c r="C37" s="51"/>
      <c r="D37" s="11"/>
      <c r="E37" s="10"/>
      <c r="F37" s="19"/>
      <c r="G37" s="14"/>
      <c r="H37" s="14"/>
      <c r="I37" s="19"/>
      <c r="J37" s="14"/>
      <c r="K37" s="15"/>
      <c r="L37" s="14"/>
      <c r="M37" s="14"/>
      <c r="N37" s="19"/>
      <c r="O37" s="10"/>
      <c r="P37" s="14"/>
      <c r="Q37" s="10"/>
      <c r="R37" s="14"/>
      <c r="S37" s="14"/>
      <c r="T37" s="14"/>
      <c r="U37" s="14"/>
      <c r="V37" s="16"/>
      <c r="W37" s="21">
        <f t="shared" si="9"/>
        <v>12</v>
      </c>
      <c r="X37" s="55" t="str">
        <f>VLOOKUP($W37,'D27'!$K$37:$Q$52,2,FALSE)</f>
        <v>Chester Valley 1</v>
      </c>
      <c r="Y37" s="46" t="str">
        <f>VLOOKUP($W37,'D27'!$K$37:$Q$52,4,FALSE)</f>
        <v>Mike Miley</v>
      </c>
      <c r="Z37" s="46" t="str">
        <f>VLOOKUP($W37,'D27'!$K$37:$Q$52,5,FALSE)</f>
        <v>mikemiley13@gmail.com</v>
      </c>
      <c r="AB37" s="16"/>
    </row>
    <row r="38" spans="1:28" x14ac:dyDescent="0.45">
      <c r="A38" s="7">
        <v>29</v>
      </c>
      <c r="B38" s="75">
        <f t="shared" ref="B38" si="10">+C38</f>
        <v>45835</v>
      </c>
      <c r="C38" s="76">
        <v>45835</v>
      </c>
      <c r="D38" s="68">
        <v>0.75</v>
      </c>
      <c r="E38" s="10"/>
      <c r="F38" s="15" t="str" cm="1">
        <f t="array" aca="1" ref="F38" ca="1">IF((INDIRECT("SCHEDULE!P"&amp;S38))&gt;0,(IF((INDIRECT("SCHEDULE!G"&amp;S38))&lt;(INDIRECT("SCHEDULE!J"&amp;S38)),(INDIRECT("SCHEDULE!F"&amp;S38)),(INDIRECT("SCHEDULE!I"&amp;S38)))),R38)</f>
        <v>GVE 1</v>
      </c>
      <c r="G38" s="14">
        <v>4</v>
      </c>
      <c r="H38" s="14" t="s">
        <v>13</v>
      </c>
      <c r="I38" s="15" t="str" cm="1">
        <f t="array" aca="1" ref="I38" ca="1">IF((INDIRECT("SCHEDULE!P"&amp;T38))&gt;0,(IF((INDIRECT("SCHEDULE!G"&amp;T38))&gt;(INDIRECT("SCHEDULE!J"&amp;T38)),(INDIRECT("SCHEDULE!F"&amp;T38)),(INDIRECT("SCHEDULE!I"&amp;T38)))),U38)</f>
        <v>Coventry</v>
      </c>
      <c r="J38" s="14">
        <v>11</v>
      </c>
      <c r="K38" s="15"/>
      <c r="L38" s="67" t="s">
        <v>15</v>
      </c>
      <c r="M38" s="14" t="s">
        <v>120</v>
      </c>
      <c r="N38" s="19"/>
      <c r="O38" s="10"/>
      <c r="P38" s="14">
        <f>+G38+J38</f>
        <v>15</v>
      </c>
      <c r="Q38" s="10"/>
      <c r="R38" s="14" t="s">
        <v>103</v>
      </c>
      <c r="S38" s="14">
        <v>34</v>
      </c>
      <c r="T38" s="14">
        <v>36</v>
      </c>
      <c r="U38" s="14" t="s">
        <v>104</v>
      </c>
      <c r="V38" s="16"/>
      <c r="W38" s="21">
        <f t="shared" si="9"/>
        <v>13</v>
      </c>
      <c r="X38" s="55" t="str">
        <f>VLOOKUP($W38,'D27'!$K$37:$Q$52,2,FALSE)</f>
        <v>Devon/Strafford</v>
      </c>
      <c r="Y38" s="46" t="str">
        <f>VLOOKUP($W38,'D27'!$K$37:$Q$52,4,FALSE)</f>
        <v>Dale Kline</v>
      </c>
      <c r="Z38" s="65" t="str">
        <f>VLOOKUP($W38,'D27'!$K$37:$Q$52,5,FALSE)</f>
        <v>dale@qemg.com</v>
      </c>
      <c r="AB38" s="16"/>
    </row>
    <row r="39" spans="1:28" x14ac:dyDescent="0.45">
      <c r="A39" s="7"/>
      <c r="B39" s="8"/>
      <c r="C39" s="51"/>
      <c r="D39" s="11"/>
      <c r="E39" s="10"/>
      <c r="F39" s="19"/>
      <c r="G39" s="14"/>
      <c r="H39" s="14"/>
      <c r="I39" s="19"/>
      <c r="J39" s="14"/>
      <c r="K39" s="15"/>
      <c r="L39" s="14"/>
      <c r="M39" s="14"/>
      <c r="N39" s="19"/>
      <c r="O39" s="10"/>
      <c r="P39" s="14"/>
      <c r="Q39" s="10"/>
      <c r="R39" s="14"/>
      <c r="S39" s="14"/>
      <c r="T39" s="14"/>
      <c r="U39" s="14"/>
      <c r="V39" s="16"/>
      <c r="W39" s="21">
        <f t="shared" si="9"/>
        <v>14</v>
      </c>
      <c r="X39" s="55" t="str">
        <f>VLOOKUP($W39,'D27'!$K$37:$Q$52,2,FALSE)</f>
        <v>Lower Merion</v>
      </c>
      <c r="Y39" s="46" t="str">
        <f>VLOOKUP($W39,'D27'!$K$37:$Q$52,4,FALSE)</f>
        <v>Scott Shaw</v>
      </c>
      <c r="Z39" s="46" t="str">
        <f>VLOOKUP($W39,'D27'!$K$37:$Q$52,5,FALSE)</f>
        <v>sshaw0379@gmail.com</v>
      </c>
      <c r="AB39" s="16"/>
    </row>
    <row r="40" spans="1:28" ht="27.4" x14ac:dyDescent="0.45">
      <c r="A40" s="7">
        <v>30</v>
      </c>
      <c r="B40" s="22">
        <f t="shared" ref="B40" si="11">+C40</f>
        <v>45836</v>
      </c>
      <c r="C40" s="53">
        <v>45836</v>
      </c>
      <c r="D40" s="24">
        <v>0.5</v>
      </c>
      <c r="E40" s="10"/>
      <c r="F40" s="15" t="str" cm="1">
        <f t="array" aca="1" ref="F40" ca="1">IF((INDIRECT("SCHEDULE!P"&amp;S40))&gt;0,(IF((INDIRECT("SCHEDULE!G"&amp;S40))&gt;(INDIRECT("SCHEDULE!J"&amp;S40)),(INDIRECT("SCHEDULE!F"&amp;S40)),(INDIRECT("SCHEDULE!I"&amp;S40)))),R40)</f>
        <v>Upper Providence 1</v>
      </c>
      <c r="G40" s="14">
        <v>4</v>
      </c>
      <c r="H40" s="14" t="s">
        <v>13</v>
      </c>
      <c r="I40" s="15" t="str" cm="1">
        <f t="array" aca="1" ref="I40" ca="1">IF((INDIRECT("SCHEDULE!P"&amp;T40))&gt;0,(IF((INDIRECT("SCHEDULE!G"&amp;T40))&gt;(INDIRECT("SCHEDULE!J"&amp;T40)),(INDIRECT("SCHEDULE!F"&amp;T40)),(INDIRECT("SCHEDULE!I"&amp;T40)))),U40)</f>
        <v>Coventry</v>
      </c>
      <c r="J40" s="14">
        <v>1</v>
      </c>
      <c r="K40" s="15"/>
      <c r="L40" s="14" t="s">
        <v>15</v>
      </c>
      <c r="M40" s="63" t="s">
        <v>161</v>
      </c>
      <c r="N40" s="19"/>
      <c r="O40" s="10"/>
      <c r="P40" s="14">
        <f>+G40+J40</f>
        <v>5</v>
      </c>
      <c r="Q40" s="10"/>
      <c r="R40" s="14" t="s">
        <v>105</v>
      </c>
      <c r="S40" s="14">
        <v>34</v>
      </c>
      <c r="T40" s="14">
        <v>38</v>
      </c>
      <c r="U40" s="14" t="s">
        <v>106</v>
      </c>
      <c r="V40" s="16"/>
      <c r="W40" s="21">
        <f t="shared" si="9"/>
        <v>15</v>
      </c>
      <c r="X40" s="55" t="str">
        <f>VLOOKUP($W40,'D27'!$K$37:$Q$52,2,FALSE)</f>
        <v>Berwyn-Paoli</v>
      </c>
      <c r="Y40" s="46" t="str">
        <f>VLOOKUP($W40,'D27'!$K$37:$Q$52,4,FALSE)</f>
        <v>Adam Strittmatter</v>
      </c>
      <c r="Z40" s="46" t="str">
        <f>VLOOKUP($W40,'D27'!$K$37:$Q$52,5,FALSE)</f>
        <v>adamstrittmatter@yahoo.com</v>
      </c>
      <c r="AB40" s="16"/>
    </row>
    <row r="41" spans="1:28" x14ac:dyDescent="0.45">
      <c r="A41" s="7"/>
      <c r="B41" s="8"/>
      <c r="C41" s="51"/>
      <c r="D41" s="11"/>
      <c r="E41" s="10"/>
      <c r="F41" s="19"/>
      <c r="G41" s="14"/>
      <c r="H41" s="14"/>
      <c r="I41" s="19"/>
      <c r="J41" s="14"/>
      <c r="K41" s="15"/>
      <c r="L41" s="14"/>
      <c r="M41" s="19"/>
      <c r="N41" s="19"/>
      <c r="O41" s="10"/>
      <c r="P41" s="14"/>
      <c r="Q41" s="10"/>
      <c r="R41" s="14"/>
      <c r="S41" s="14"/>
      <c r="T41" s="14"/>
      <c r="U41" s="14"/>
      <c r="V41" s="16"/>
      <c r="W41" s="21">
        <f t="shared" si="9"/>
        <v>16</v>
      </c>
      <c r="X41" s="55" t="str">
        <f>VLOOKUP($W41,'D27'!$K$37:$Q$52,2,FALSE)</f>
        <v>Upper Providence 1</v>
      </c>
      <c r="Y41" s="46" t="str">
        <f>VLOOKUP($W41,'D27'!$K$37:$Q$52,4,FALSE)</f>
        <v>Jacob Barnes</v>
      </c>
      <c r="Z41" s="46" t="str">
        <f>VLOOKUP($W41,'D27'!$K$37:$Q$52,5,FALSE)</f>
        <v>Jakebarnes11@hotmail.com</v>
      </c>
      <c r="AB41" s="16"/>
    </row>
    <row r="42" spans="1:28" ht="27.4" x14ac:dyDescent="0.45">
      <c r="A42" s="7">
        <v>31</v>
      </c>
      <c r="B42" s="22">
        <f>+C42</f>
        <v>45837</v>
      </c>
      <c r="C42" s="53">
        <v>45837</v>
      </c>
      <c r="D42" s="24">
        <v>0.54166666666666663</v>
      </c>
      <c r="E42" s="10"/>
      <c r="F42" s="15" t="str" cm="1">
        <f t="array" aca="1" ref="F42" ca="1">IF((INDIRECT("SCHEDULE!P"&amp;S42))&gt;0,(IF((INDIRECT("SCHEDULE!G"&amp;S42))&gt;(INDIRECT("SCHEDULE!J"&amp;S42)),(INDIRECT("SCHEDULE!F"&amp;S42)),(INDIRECT("SCHEDULE!I"&amp;S42)))),R42)</f>
        <v>Upper Providence 1</v>
      </c>
      <c r="G42" s="14"/>
      <c r="H42" s="14" t="s">
        <v>13</v>
      </c>
      <c r="I42" s="15" t="str" cm="1">
        <f t="array" aca="1" ref="I42" ca="1">IF((INDIRECT("SCHEDULE!P"&amp;T42))&gt;0,(IF((INDIRECT("SCHEDULE!G"&amp;T42))&lt;(INDIRECT("SCHEDULE!J"&amp;T42)),(INDIRECT("SCHEDULE!F"&amp;T42)),"Not Necessary")),U42)</f>
        <v>Not Necessary</v>
      </c>
      <c r="J42" s="14"/>
      <c r="K42" s="15"/>
      <c r="L42" s="14" t="s">
        <v>15</v>
      </c>
      <c r="M42" s="63" t="s">
        <v>161</v>
      </c>
      <c r="N42" s="18" t="s">
        <v>14</v>
      </c>
      <c r="O42" s="10"/>
      <c r="P42" s="14">
        <f>+G42+J42</f>
        <v>0</v>
      </c>
      <c r="Q42" s="10"/>
      <c r="R42" s="14" t="s">
        <v>107</v>
      </c>
      <c r="S42" s="14">
        <v>40</v>
      </c>
      <c r="T42" s="14">
        <v>40</v>
      </c>
      <c r="U42" s="14" t="s">
        <v>108</v>
      </c>
      <c r="V42" s="16"/>
      <c r="AB42" s="16"/>
    </row>
    <row r="43" spans="1:28" x14ac:dyDescent="0.45">
      <c r="A43" s="7"/>
      <c r="B43" s="8"/>
      <c r="C43" s="51"/>
      <c r="D43" s="11"/>
      <c r="E43" s="10"/>
      <c r="F43" s="19"/>
      <c r="G43" s="14"/>
      <c r="H43" s="14"/>
      <c r="I43" s="19"/>
      <c r="J43" s="14"/>
      <c r="K43" s="15"/>
      <c r="L43" s="14"/>
      <c r="M43" s="19"/>
      <c r="N43" s="19"/>
      <c r="O43" s="10"/>
      <c r="P43" s="19"/>
      <c r="Q43" s="10"/>
      <c r="R43" s="14"/>
      <c r="S43" s="14"/>
      <c r="T43" s="14"/>
      <c r="U43" s="14"/>
    </row>
    <row r="44" spans="1:28" x14ac:dyDescent="0.45">
      <c r="A44" s="78" t="s">
        <v>31</v>
      </c>
      <c r="B44" s="79"/>
      <c r="C44" s="80"/>
      <c r="D44" s="25"/>
      <c r="E44" s="10"/>
      <c r="F44" s="19" t="str" cm="1">
        <f t="array" aca="1" ref="F44" ca="1">IF(INDIRECT("SCHEDULE!P"&amp;S44)&gt;0,IF(INDIRECT("SCHEDULE!G"&amp;S44)&gt;INDIRECT("SCHEDULE!J"&amp;S44),INDIRECT("SCHEDULE!F"&amp;S44),INDIRECT("SCHEDULE!I"&amp;S44)),IF(INDIRECT("SCHEDULE!P"&amp;T44)&gt;0,IF(INDIRECT("SCHEDULE!G"&amp;T44)&gt;INDIRECT("SCHEDULE!J"&amp;T44),INDIRECT("SCHEDULE!F"&amp;T44),R44),R44))</f>
        <v>Upper Providence 1</v>
      </c>
      <c r="G44" s="14"/>
      <c r="H44" s="14"/>
      <c r="I44" s="19"/>
      <c r="J44" s="14"/>
      <c r="K44" s="15"/>
      <c r="L44" s="14"/>
      <c r="M44" s="19"/>
      <c r="N44" s="19"/>
      <c r="O44" s="10"/>
      <c r="P44" s="19"/>
      <c r="Q44" s="10"/>
      <c r="R44" s="14" t="s">
        <v>31</v>
      </c>
      <c r="S44" s="14">
        <v>42</v>
      </c>
      <c r="T44" s="14">
        <v>40</v>
      </c>
      <c r="U44" s="14"/>
    </row>
    <row r="45" spans="1:28" x14ac:dyDescent="0.45">
      <c r="E45" s="26"/>
      <c r="F45" s="26"/>
      <c r="H45" s="26"/>
      <c r="I45" s="26"/>
      <c r="J45" s="26"/>
      <c r="K45" s="26"/>
      <c r="M45" s="26"/>
      <c r="N45" s="26"/>
      <c r="O45" s="26"/>
      <c r="P45" s="26"/>
      <c r="Q45" s="26"/>
    </row>
    <row r="46" spans="1:28" x14ac:dyDescent="0.45">
      <c r="E46" s="26"/>
      <c r="F46" s="26"/>
      <c r="O46" s="26"/>
      <c r="Q46" s="26"/>
    </row>
    <row r="47" spans="1:28" x14ac:dyDescent="0.45">
      <c r="E47" s="26"/>
      <c r="F47" s="26"/>
      <c r="L47" s="81" t="s">
        <v>121</v>
      </c>
      <c r="M47" s="81"/>
      <c r="O47" s="26"/>
      <c r="P47" s="26"/>
      <c r="Q47" s="26"/>
      <c r="X47" s="81" t="s">
        <v>162</v>
      </c>
      <c r="Y47" s="81"/>
    </row>
    <row r="48" spans="1:28" x14ac:dyDescent="0.45">
      <c r="L48" s="81"/>
      <c r="M48" s="81"/>
      <c r="X48" s="81"/>
      <c r="Y48" s="81"/>
    </row>
  </sheetData>
  <mergeCells count="5">
    <mergeCell ref="F1:J1"/>
    <mergeCell ref="R1:U1"/>
    <mergeCell ref="A44:C44"/>
    <mergeCell ref="L47:M48"/>
    <mergeCell ref="X47:Y48"/>
  </mergeCells>
  <pageMargins left="0.25" right="0.25" top="0.5" bottom="0.5" header="0.25" footer="0.25"/>
  <pageSetup scale="57" orientation="landscape" r:id="rId1"/>
  <headerFooter>
    <oddHeader>&amp;F</oddHeader>
    <oddFooter>&amp;L&amp;A&amp;C&amp;D&amp;RPage &amp;P</oddFooter>
  </headerFooter>
  <ignoredErrors>
    <ignoredError sqref="F22 I23 F23 H22:I2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72631-87CF-4254-911A-A530ECE390F3}">
  <sheetPr>
    <pageSetUpPr fitToPage="1"/>
  </sheetPr>
  <dimension ref="A1:I109"/>
  <sheetViews>
    <sheetView tabSelected="1" zoomScale="70" zoomScaleNormal="70" workbookViewId="0">
      <selection activeCell="I47" sqref="I47"/>
    </sheetView>
  </sheetViews>
  <sheetFormatPr defaultColWidth="9.1328125" defaultRowHeight="13.15" x14ac:dyDescent="0.45"/>
  <cols>
    <col min="1" max="2" width="25.73046875" style="31" customWidth="1"/>
    <col min="3" max="5" width="25.73046875" style="32" customWidth="1"/>
    <col min="6" max="16" width="25.73046875" style="31" customWidth="1"/>
    <col min="17" max="16384" width="9.1328125" style="31"/>
  </cols>
  <sheetData>
    <row r="1" spans="1:9" ht="12.95" customHeight="1" x14ac:dyDescent="0.45"/>
    <row r="2" spans="1:9" ht="12.95" customHeight="1" thickBot="1" x14ac:dyDescent="0.5">
      <c r="A2" s="64" t="str">
        <f>IF(SCHEDULE!$P2&lt;1,SCHEDULE!$F2,_xlfn.CONCAT(SCHEDULE!$F2," - ", SCHEDULE!$G2))</f>
        <v>GVE 2 - 2</v>
      </c>
    </row>
    <row r="3" spans="1:9" ht="12.95" customHeight="1" x14ac:dyDescent="0.45">
      <c r="A3" s="82" t="str">
        <f>_xlfn.CONCAT("(",SCHEDULE!$A2,") - ",TEXT(SCHEDULE!$C2,"DDD M/D")," ",TEXT(SCHEDULE!$D2,"H:MM AM/PM"),"
 (",SCHEDULE!$L2,")")</f>
        <v>(1) - Sat 6/14 3:00 PM
 (R/W-Encke Park)</v>
      </c>
      <c r="B3" s="33" t="str">
        <f ca="1">IF(SCHEDULE!$P16&lt;1,SCHEDULE!$F16,_xlfn.CONCAT(SCHEDULE!$F16," - ", SCHEDULE!$G16))</f>
        <v>Radnor/Wayne 1 - 9</v>
      </c>
      <c r="G3" s="95" t="s">
        <v>42</v>
      </c>
      <c r="H3" s="97" t="s">
        <v>44</v>
      </c>
      <c r="I3" s="98"/>
    </row>
    <row r="4" spans="1:9" ht="12.95" customHeight="1" thickBot="1" x14ac:dyDescent="0.5">
      <c r="A4" s="83"/>
      <c r="B4" s="82" t="str">
        <f>_xlfn.CONCAT("(",SCHEDULE!$A16,") - ",TEXT(SCHEDULE!$C16,"DDD M/D")," ",TEXT(SCHEDULE!$D16,"H:MM AM/PM"),"
 (",SCHEDULE!$L16,")")</f>
        <v>(13) - Sun 6/15 1:00 PM
 (CV-Monument Park)</v>
      </c>
      <c r="G4" s="96"/>
      <c r="H4" s="99"/>
      <c r="I4" s="100"/>
    </row>
    <row r="5" spans="1:9" ht="12.95" customHeight="1" x14ac:dyDescent="0.45">
      <c r="A5" s="64" t="str">
        <f>IF(SCHEDULE!$P2&lt;1,SCHEDULE!$I2,_xlfn.CONCAT(SCHEDULE!$I2," - ", SCHEDULE!$J2))</f>
        <v>Radnor/Wayne 1 - 15</v>
      </c>
      <c r="B5" s="84"/>
      <c r="C5" s="33" t="str">
        <f ca="1">IF(SCHEDULE!$P26&lt;1,SCHEDULE!$F26,_xlfn.CONCAT(SCHEDULE!$F26," - ", SCHEDULE!$G26))</f>
        <v>Radnor/Wayne 1 - 2</v>
      </c>
      <c r="G5" s="95" t="s">
        <v>43</v>
      </c>
      <c r="H5" s="99"/>
      <c r="I5" s="100"/>
    </row>
    <row r="6" spans="1:9" ht="12.95" customHeight="1" thickBot="1" x14ac:dyDescent="0.5">
      <c r="B6" s="84"/>
      <c r="C6" s="86" t="str">
        <f>_xlfn.CONCAT("(",SCHEDULE!$A26,") - ",TEXT(SCHEDULE!$C26,"DDD M/D")," ",TEXT(SCHEDULE!$D26,"H:MM AM/PM"),"
 (",SCHEDULE!$L26,")")</f>
        <v>(21) - Sat 6/21 11:00 AM
 (EX-Ship Park)</v>
      </c>
      <c r="G6" s="96"/>
      <c r="H6" s="101"/>
      <c r="I6" s="102"/>
    </row>
    <row r="7" spans="1:9" ht="12.95" customHeight="1" x14ac:dyDescent="0.45">
      <c r="A7" s="64" t="str">
        <f>IF(SCHEDULE!$P3&lt;1,SCHEDULE!$F3,_xlfn.CONCAT(SCHEDULE!$F3," - ", SCHEDULE!$G3))</f>
        <v>Chester Valley 2 - 0</v>
      </c>
      <c r="B7" s="84"/>
      <c r="C7" s="87"/>
    </row>
    <row r="8" spans="1:9" ht="12.95" customHeight="1" x14ac:dyDescent="0.45">
      <c r="A8" s="82" t="str">
        <f>_xlfn.CONCAT("(",SCHEDULE!$A3,") - ",TEXT(SCHEDULE!$C3,"DDD M/D")," ",TEXT(SCHEDULE!$D3,"H:MM AM/PM"),"
 (",SCHEDULE!$L3,")")</f>
        <v>(2) - Sat 6/14 12:00 PM
 (LP-Palmer Park)</v>
      </c>
      <c r="B8" s="85"/>
      <c r="C8" s="87"/>
    </row>
    <row r="9" spans="1:9" ht="12.95" customHeight="1" x14ac:dyDescent="0.45">
      <c r="A9" s="83"/>
      <c r="B9" s="33" t="str">
        <f ca="1">IF(SCHEDULE!$P16&lt;1,SCHEDULE!$I16,_xlfn.CONCAT(SCHEDULE!$I16," - ", SCHEDULE!$J16))</f>
        <v>Lower Perk 1 - 1</v>
      </c>
      <c r="C9" s="87"/>
    </row>
    <row r="10" spans="1:9" ht="12.95" customHeight="1" x14ac:dyDescent="0.45">
      <c r="A10" s="64" t="str">
        <f>IF(SCHEDULE!$P3&lt;1,SCHEDULE!$I3,_xlfn.CONCAT(SCHEDULE!$I3," - ", SCHEDULE!$J3))</f>
        <v>Lower Perk 1 - 10</v>
      </c>
      <c r="C10" s="87"/>
      <c r="D10" s="31"/>
      <c r="E10" s="33" t="str">
        <f ca="1">IF(SCHEDULE!$P34&lt;1,SCHEDULE!$F34,_xlfn.CONCAT(SCHEDULE!$F34," - ", SCHEDULE!$G34))</f>
        <v>GVE 1 - 2</v>
      </c>
    </row>
    <row r="11" spans="1:9" ht="12.95" customHeight="1" x14ac:dyDescent="0.45">
      <c r="C11" s="87"/>
      <c r="D11" s="109" t="str">
        <f>_xlfn.CONCAT("(",SCHEDULE!$A34,") - ",TEXT(SCHEDULE!$C34,"DDD M/D")," ",TEXT(SCHEDULE!$D34,"H:MM AM/PM"),"
 (",SCHEDULE!$L34,")")</f>
        <v>(27) - Tue 6/24 6:00 PM
 (BP-Field of Dreams)</v>
      </c>
      <c r="E11" s="110"/>
    </row>
    <row r="12" spans="1:9" ht="12.95" customHeight="1" x14ac:dyDescent="0.45">
      <c r="A12" s="64" t="str">
        <f>IF(SCHEDULE!$P4&lt;1,SCHEDULE!$F4,_xlfn.CONCAT(SCHEDULE!$F4," - ", SCHEDULE!$G4))</f>
        <v>Lower Perk 2 - 1</v>
      </c>
      <c r="C12" s="87"/>
      <c r="D12" s="111"/>
      <c r="E12" s="112"/>
    </row>
    <row r="13" spans="1:9" ht="12.95" customHeight="1" x14ac:dyDescent="0.45">
      <c r="A13" s="82" t="str">
        <f>_xlfn.CONCAT("(",SCHEDULE!$A4,") - ",TEXT(SCHEDULE!$C4,"DDD M/D")," ",TEXT(SCHEDULE!$D4,"H:MM AM/PM"),"
 (",SCHEDULE!$L4,")")</f>
        <v>(3) - Sat 6/14 10:00 AM
 (LP-Palmer Park)</v>
      </c>
      <c r="B13" s="33" t="str">
        <f ca="1">IF(SCHEDULE!$P17&lt;1,SCHEDULE!$F17,_xlfn.CONCAT(SCHEDULE!$F17," - ", SCHEDULE!$G17))</f>
        <v>GVE 1 - 7</v>
      </c>
      <c r="C13" s="87"/>
      <c r="D13" s="111"/>
      <c r="E13" s="112"/>
    </row>
    <row r="14" spans="1:9" ht="12.95" customHeight="1" x14ac:dyDescent="0.45">
      <c r="A14" s="83"/>
      <c r="B14" s="82" t="str">
        <f>_xlfn.CONCAT("(",SCHEDULE!$A17,") - ",TEXT(SCHEDULE!$C17,"DDD M/D")," ",TEXT(SCHEDULE!$D17,"H:MM AM/PM"),"
 (",SCHEDULE!$L17,")")</f>
        <v>(14) - Sun 6/15 3:00 PM
 (CV-Monument Park)</v>
      </c>
      <c r="C14" s="87"/>
      <c r="D14" s="111"/>
      <c r="E14" s="112"/>
    </row>
    <row r="15" spans="1:9" ht="12.95" customHeight="1" x14ac:dyDescent="0.45">
      <c r="A15" s="64" t="str">
        <f>IF(SCHEDULE!$P4&lt;1,SCHEDULE!$I4,_xlfn.CONCAT(SCHEDULE!$I4," - ", SCHEDULE!$J4))</f>
        <v>GVE 1 - 11</v>
      </c>
      <c r="B15" s="84"/>
      <c r="C15" s="87"/>
      <c r="D15" s="111"/>
      <c r="E15" s="112"/>
    </row>
    <row r="16" spans="1:9" ht="12.95" customHeight="1" x14ac:dyDescent="0.45">
      <c r="B16" s="84"/>
      <c r="C16" s="88"/>
      <c r="D16" s="111"/>
      <c r="E16" s="112"/>
    </row>
    <row r="17" spans="1:7" ht="12.95" customHeight="1" x14ac:dyDescent="0.45">
      <c r="A17" s="64" t="str">
        <f>IF(SCHEDULE!$P5&lt;1,SCHEDULE!$F5,_xlfn.CONCAT(SCHEDULE!$F5," - ", SCHEDULE!$G5))</f>
        <v>Radnor/Wayne 2 - 3</v>
      </c>
      <c r="B17" s="84"/>
      <c r="C17" s="33" t="str">
        <f ca="1">IF(SCHEDULE!$P26&lt;1,SCHEDULE!$I26,_xlfn.CONCAT(SCHEDULE!$I26," - ", SCHEDULE!$J26))</f>
        <v>GVE 1 - 6</v>
      </c>
      <c r="D17" s="111"/>
      <c r="E17" s="112"/>
    </row>
    <row r="18" spans="1:7" ht="12.95" customHeight="1" x14ac:dyDescent="0.45">
      <c r="A18" s="82" t="str">
        <f>_xlfn.CONCAT("(",SCHEDULE!$A5,") - ",TEXT(SCHEDULE!$C5,"DDD M/D")," ",TEXT(SCHEDULE!$D5,"H:MM AM/PM"),"
 (",SCHEDULE!$L5,")")</f>
        <v>(4) - Sat 6/14 1:00 PM
 (R/W-Encke Park)</v>
      </c>
      <c r="B18" s="85"/>
      <c r="C18" s="31"/>
      <c r="D18" s="111"/>
      <c r="E18" s="112"/>
    </row>
    <row r="19" spans="1:7" ht="12.95" customHeight="1" x14ac:dyDescent="0.45">
      <c r="A19" s="83"/>
      <c r="B19" s="33" t="str">
        <f ca="1">IF(SCHEDULE!$P17&lt;1,SCHEDULE!$I17,_xlfn.CONCAT(SCHEDULE!$I17," - ", SCHEDULE!$J17))</f>
        <v>Chester Valley 1 - 6</v>
      </c>
      <c r="C19" s="31"/>
      <c r="D19" s="111"/>
      <c r="E19" s="112"/>
    </row>
    <row r="20" spans="1:7" ht="12.95" customHeight="1" x14ac:dyDescent="0.45">
      <c r="A20" s="64" t="str">
        <f>IF(SCHEDULE!$P5&lt;1,SCHEDULE!$I5,_xlfn.CONCAT(SCHEDULE!$I5," - ", SCHEDULE!$J5))</f>
        <v>Chester Valley 1 - 15</v>
      </c>
      <c r="C20" s="31"/>
      <c r="D20" s="111"/>
      <c r="E20" s="112"/>
      <c r="F20" s="35"/>
      <c r="G20" s="33" t="str">
        <f ca="1">IF(SCHEDULE!$P40&lt;1,SCHEDULE!$F40,_xlfn.CONCAT(SCHEDULE!$F40," - ", SCHEDULE!$G40))</f>
        <v>Upper Providence 1 - 4</v>
      </c>
    </row>
    <row r="21" spans="1:7" ht="12.95" customHeight="1" x14ac:dyDescent="0.45">
      <c r="C21" s="31"/>
      <c r="D21" s="111"/>
      <c r="E21" s="112"/>
      <c r="F21" s="37"/>
      <c r="G21" s="106" t="str">
        <f>_xlfn.CONCAT("(",SCHEDULE!$A40,") - ",TEXT(SCHEDULE!$C40,"DDD M/D")," ",TEXT(SCHEDULE!$D40,"H:MM AM/PM"),"
 (",SCHEDULE!$L40,")")</f>
        <v>(30) - Sat 6/28 12:00 PM
 (GV-King Road)</v>
      </c>
    </row>
    <row r="22" spans="1:7" ht="12.95" customHeight="1" x14ac:dyDescent="0.45">
      <c r="A22" s="64" t="str">
        <f>IF(SCHEDULE!$P6&lt;1,SCHEDULE!$F6,_xlfn.CONCAT(SCHEDULE!$F6," - ", SCHEDULE!$G6))</f>
        <v>Coventry - 11</v>
      </c>
      <c r="C22" s="31"/>
      <c r="D22" s="111"/>
      <c r="E22" s="112"/>
      <c r="G22" s="107"/>
    </row>
    <row r="23" spans="1:7" ht="12.95" customHeight="1" x14ac:dyDescent="0.45">
      <c r="A23" s="82" t="str">
        <f>_xlfn.CONCAT("(",SCHEDULE!$A6,") - ",TEXT(SCHEDULE!$C6,"DDD M/D")," ",TEXT(SCHEDULE!$D6,"H:MM AM/PM"),"
 (",SCHEDULE!$L6,")")</f>
        <v>(5) - Sat 6/14 10:00 AM
 (D/S-Clarke Field)</v>
      </c>
      <c r="B23" s="33" t="str">
        <f ca="1">IF(SCHEDULE!$P18&lt;1,SCHEDULE!$F18,_xlfn.CONCAT(SCHEDULE!$F18," - ", SCHEDULE!$G18))</f>
        <v>Coventry - 3</v>
      </c>
      <c r="C23" s="31"/>
      <c r="D23" s="111"/>
      <c r="E23" s="112"/>
      <c r="G23" s="107"/>
    </row>
    <row r="24" spans="1:7" ht="12.95" customHeight="1" x14ac:dyDescent="0.45">
      <c r="A24" s="83"/>
      <c r="B24" s="82" t="str">
        <f>_xlfn.CONCAT("(",SCHEDULE!$A18,") - ",TEXT(SCHEDULE!$C18,"DDD M/D")," ",TEXT(SCHEDULE!$D18,"H:MM AM/PM"),"
 (",SCHEDULE!$L18,")")</f>
        <v>(15) - Sun 6/15 1:00 PM
 (UP-MacFarlan Park)</v>
      </c>
      <c r="C24" s="31"/>
      <c r="D24" s="111"/>
      <c r="E24" s="112"/>
      <c r="G24" s="107"/>
    </row>
    <row r="25" spans="1:7" ht="12.95" customHeight="1" x14ac:dyDescent="0.45">
      <c r="A25" s="64" t="str">
        <f>IF(SCHEDULE!$P6&lt;1,SCHEDULE!$I6,_xlfn.CONCAT(SCHEDULE!$I6," - ", SCHEDULE!$J6))</f>
        <v>Devon/Strafford - 4</v>
      </c>
      <c r="B25" s="84"/>
      <c r="C25" s="33" t="str">
        <f ca="1">IF(SCHEDULE!$P27&lt;1,SCHEDULE!$F27,_xlfn.CONCAT(SCHEDULE!$F27," - ", SCHEDULE!$G27))</f>
        <v>Lower Merion - 5</v>
      </c>
      <c r="D25" s="111"/>
      <c r="E25" s="112"/>
      <c r="G25" s="107"/>
    </row>
    <row r="26" spans="1:7" ht="12.95" customHeight="1" x14ac:dyDescent="0.45">
      <c r="B26" s="84"/>
      <c r="C26" s="89" t="str">
        <f>_xlfn.CONCAT("(",SCHEDULE!$A27,") - ",TEXT(SCHEDULE!$C27,"DDD M/D")," ",TEXT(SCHEDULE!$D27,"H:MM AM/PM"),"
 (",SCHEDULE!$L27,")")</f>
        <v>(22) - Sat 6/21 1:00 PM
 (UP-MacFarlan Park)</v>
      </c>
      <c r="D26" s="111"/>
      <c r="E26" s="112"/>
      <c r="G26" s="107"/>
    </row>
    <row r="27" spans="1:7" ht="12.95" customHeight="1" x14ac:dyDescent="0.45">
      <c r="A27" s="64" t="str">
        <f>IF(SCHEDULE!$P7&lt;1,SCHEDULE!$F7,_xlfn.CONCAT(SCHEDULE!$F7," - ", SCHEDULE!$G7))</f>
        <v>Pottsgrove-Pottstown - 7</v>
      </c>
      <c r="B27" s="84"/>
      <c r="C27" s="90"/>
      <c r="D27" s="111"/>
      <c r="E27" s="112"/>
      <c r="G27" s="107"/>
    </row>
    <row r="28" spans="1:7" ht="12.95" customHeight="1" x14ac:dyDescent="0.45">
      <c r="A28" s="82" t="str">
        <f>_xlfn.CONCAT("(",SCHEDULE!$A7,") - ",TEXT(SCHEDULE!$C7,"DDD M/D")," ",TEXT(SCHEDULE!$D7,"H:MM AM/PM"),"
 (",SCHEDULE!$L7,")")</f>
        <v>(6) - Sat 6/14 12:00 PM
 (Lower Merion)</v>
      </c>
      <c r="B28" s="85"/>
      <c r="C28" s="90"/>
      <c r="D28" s="111"/>
      <c r="E28" s="112"/>
      <c r="G28" s="107"/>
    </row>
    <row r="29" spans="1:7" ht="12.95" customHeight="1" x14ac:dyDescent="0.45">
      <c r="A29" s="83"/>
      <c r="B29" s="33" t="str">
        <f ca="1">IF(SCHEDULE!$P18&lt;1,SCHEDULE!$I18,_xlfn.CONCAT(SCHEDULE!$I18," - ", SCHEDULE!$J18))</f>
        <v>Lower Merion - 9</v>
      </c>
      <c r="C29" s="90"/>
      <c r="D29" s="111"/>
      <c r="E29" s="112"/>
      <c r="G29" s="107"/>
    </row>
    <row r="30" spans="1:7" ht="12.95" customHeight="1" x14ac:dyDescent="0.45">
      <c r="A30" s="64" t="str">
        <f>IF(SCHEDULE!$P7&lt;1,SCHEDULE!$I7,_xlfn.CONCAT(SCHEDULE!$I7," - ", SCHEDULE!$J7))</f>
        <v>Lower Merion - 21</v>
      </c>
      <c r="B30" s="32"/>
      <c r="C30" s="90"/>
      <c r="D30" s="111"/>
      <c r="E30" s="112"/>
      <c r="G30" s="107"/>
    </row>
    <row r="31" spans="1:7" ht="12.95" customHeight="1" x14ac:dyDescent="0.45">
      <c r="B31" s="32"/>
      <c r="C31" s="90"/>
      <c r="D31" s="113"/>
      <c r="E31" s="114"/>
      <c r="G31" s="107"/>
    </row>
    <row r="32" spans="1:7" ht="12.95" customHeight="1" x14ac:dyDescent="0.45">
      <c r="A32" s="64" t="str">
        <f>IF(SCHEDULE!$P8&lt;1,SCHEDULE!$F8,_xlfn.CONCAT(SCHEDULE!$F8," - ", SCHEDULE!$G8))</f>
        <v>Upper Providence 2 - 18</v>
      </c>
      <c r="B32" s="32"/>
      <c r="C32" s="90"/>
      <c r="D32" s="31"/>
      <c r="E32" s="33" t="str">
        <f ca="1">IF(SCHEDULE!$P34&lt;1,SCHEDULE!$I34,_xlfn.CONCAT(SCHEDULE!$I34," - ", SCHEDULE!$J34))</f>
        <v>Upper Providence 1 - 12</v>
      </c>
      <c r="G32" s="107"/>
    </row>
    <row r="33" spans="1:9" ht="12.95" customHeight="1" x14ac:dyDescent="0.45">
      <c r="A33" s="82" t="str">
        <f>_xlfn.CONCAT("(",SCHEDULE!$A8,") - ",TEXT(SCHEDULE!$C8,"DDD M/D")," ",TEXT(SCHEDULE!$D8,"H:MM AM/PM"),"
 (",SCHEDULE!$L8,")")</f>
        <v>(7) - Sat 6/14 12:00 PM
 (D/S-Clarke Field)</v>
      </c>
      <c r="B33" s="33" t="str">
        <f ca="1">IF(SCHEDULE!$P19&lt;1,SCHEDULE!$F19,_xlfn.CONCAT(SCHEDULE!$F19," - ", SCHEDULE!$G19))</f>
        <v>Upper Providence 2 - 2</v>
      </c>
      <c r="C33" s="90"/>
      <c r="G33" s="107"/>
      <c r="H33" s="33" t="str">
        <f ca="1">IF(SCHEDULE!$P42&lt;1,SCHEDULE!$F42,_xlfn.CONCAT(SCHEDULE!$F42," - ", SCHEDULE!$G42))</f>
        <v>Upper Providence 1</v>
      </c>
    </row>
    <row r="34" spans="1:9" ht="12.95" customHeight="1" x14ac:dyDescent="0.45">
      <c r="A34" s="83"/>
      <c r="B34" s="82" t="str">
        <f>_xlfn.CONCAT("(",SCHEDULE!$A19,") - ",TEXT(SCHEDULE!$C19,"DDD M/D")," ",TEXT(SCHEDULE!$D19,"H:MM AM/PM"),"
 (",SCHEDULE!$L19,")")</f>
        <v>(16) - Sun 6/15 3:00 PM
 (UP-MacFarlan Park)</v>
      </c>
      <c r="C34" s="90"/>
      <c r="G34" s="107"/>
      <c r="H34" s="106" t="str">
        <f>_xlfn.CONCAT("(",SCHEDULE!$A42,") - ",TEXT(SCHEDULE!$C42,"DDD M/D")," ",TEXT(SCHEDULE!$D42,"H:MM AM/PM"),"
 (",SCHEDULE!$L42,")")</f>
        <v>(31) - Sun 6/29 1:00 PM
 (GV-King Road)</v>
      </c>
    </row>
    <row r="35" spans="1:9" ht="12.95" customHeight="1" x14ac:dyDescent="0.45">
      <c r="A35" s="64" t="str">
        <f>IF(SCHEDULE!$P8&lt;1,SCHEDULE!$I8,_xlfn.CONCAT(SCHEDULE!$I8," - ", SCHEDULE!$J8))</f>
        <v>Berwyn-Paoli - 6</v>
      </c>
      <c r="B35" s="84"/>
      <c r="C35" s="90"/>
      <c r="G35" s="107"/>
      <c r="H35" s="107"/>
    </row>
    <row r="36" spans="1:9" ht="12.95" customHeight="1" x14ac:dyDescent="0.45">
      <c r="B36" s="84"/>
      <c r="C36" s="91"/>
      <c r="G36" s="107"/>
      <c r="H36" s="107"/>
    </row>
    <row r="37" spans="1:9" ht="12.95" customHeight="1" x14ac:dyDescent="0.45">
      <c r="A37" s="64" t="str">
        <f>IF(SCHEDULE!$P9&lt;1,SCHEDULE!$F9,_xlfn.CONCAT(SCHEDULE!$F9," - ", SCHEDULE!$G9))</f>
        <v>GVE 3 - 2</v>
      </c>
      <c r="B37" s="84"/>
      <c r="C37" s="33" t="str">
        <f ca="1">IF(SCHEDULE!$P27&lt;1,SCHEDULE!$I27,_xlfn.CONCAT(SCHEDULE!$I27," - ", SCHEDULE!$J27))</f>
        <v>Upper Providence 1 - 11</v>
      </c>
      <c r="G37" s="107"/>
      <c r="H37" s="107"/>
    </row>
    <row r="38" spans="1:9" ht="12.95" customHeight="1" x14ac:dyDescent="0.45">
      <c r="A38" s="82" t="str">
        <f>_xlfn.CONCAT("(",SCHEDULE!$A9,") - ",TEXT(SCHEDULE!$C9,"DDD M/D")," ",TEXT(SCHEDULE!$D9,"H:MM AM/PM"),"
 (",SCHEDULE!$L9,")")</f>
        <v>(8) - Sat 6/14 2:00 PM
 (Lower Merion)</v>
      </c>
      <c r="B38" s="85"/>
      <c r="G38" s="107"/>
      <c r="H38" s="107"/>
    </row>
    <row r="39" spans="1:9" ht="12.95" customHeight="1" x14ac:dyDescent="0.45">
      <c r="A39" s="83"/>
      <c r="B39" s="33" t="str">
        <f ca="1">IF(SCHEDULE!$P19&lt;1,SCHEDULE!$I19,_xlfn.CONCAT(SCHEDULE!$I19," - ", SCHEDULE!$J19))</f>
        <v>Upper Providence 1 - 14</v>
      </c>
      <c r="F39" s="33" t="str">
        <f ca="1">IF(SCHEDULE!$P38&lt;1,SCHEDULE!$F38,_xlfn.CONCAT(SCHEDULE!$F38," - ", SCHEDULE!$G38))</f>
        <v>GVE 1 - 4</v>
      </c>
      <c r="G39" s="107"/>
      <c r="H39" s="107"/>
    </row>
    <row r="40" spans="1:9" ht="12.95" customHeight="1" x14ac:dyDescent="0.45">
      <c r="A40" s="64" t="str">
        <f>IF(SCHEDULE!$P9&lt;1,SCHEDULE!$I9,_xlfn.CONCAT(SCHEDULE!$I9," - ", SCHEDULE!$J9))</f>
        <v>Upper Providence 1 - 16</v>
      </c>
      <c r="B40" s="32"/>
      <c r="F40" s="106" t="str">
        <f>_xlfn.CONCAT("(",SCHEDULE!$A38,") - ",TEXT(SCHEDULE!$C38,"DDD M/D")," ",TEXT(SCHEDULE!$D38,"H:MM AM/PM"),"
 (",SCHEDULE!$L38,")")</f>
        <v>(29) - Fri 6/27 6:00 PM
 (GV-King Road)</v>
      </c>
      <c r="G40" s="107"/>
      <c r="H40" s="107"/>
    </row>
    <row r="41" spans="1:9" ht="12.95" customHeight="1" x14ac:dyDescent="0.45">
      <c r="A41" s="32"/>
      <c r="B41" s="32"/>
      <c r="D41" s="74" t="str">
        <f ca="1">IF(SCHEDULE!$P32&lt;1,SCHEDULE!$F32,_xlfn.CONCAT(SCHEDULE!$F32," - ", SCHEDULE!$G32))</f>
        <v>Radnor/Wayne 1 - 6</v>
      </c>
      <c r="F41" s="107"/>
      <c r="G41" s="107"/>
      <c r="H41" s="107"/>
    </row>
    <row r="42" spans="1:9" ht="12.95" customHeight="1" x14ac:dyDescent="0.45">
      <c r="A42" s="32"/>
      <c r="B42" s="32"/>
      <c r="D42" s="92" t="str">
        <f>_xlfn.CONCAT("(",SCHEDULE!$A32,") - ",TEXT(SCHEDULE!$C32,"DDD M/D")," ",TEXT(SCHEDULE!$D32,"H:MM AM/PM"),"
 (",SCHEDULE!$L32,")")</f>
        <v>(26) - Mon 6/23 8:00 PM
 (R/W-Encke Park)</v>
      </c>
      <c r="F42" s="107"/>
      <c r="G42" s="107"/>
      <c r="H42" s="107"/>
    </row>
    <row r="43" spans="1:9" ht="12.95" customHeight="1" x14ac:dyDescent="0.45">
      <c r="A43" s="32"/>
      <c r="B43" s="32"/>
      <c r="D43" s="93"/>
      <c r="F43" s="107"/>
      <c r="G43" s="107"/>
      <c r="H43" s="107"/>
    </row>
    <row r="44" spans="1:9" ht="12.95" customHeight="1" x14ac:dyDescent="0.45">
      <c r="A44" s="32"/>
      <c r="B44" s="33" t="str">
        <f ca="1">IF(SCHEDULE!$P21&lt;1,SCHEDULE!$F21,_xlfn.CONCAT(SCHEDULE!$F21," - ", SCHEDULE!$G21))</f>
        <v>Upper Providence 2 - 12</v>
      </c>
      <c r="D44" s="93"/>
      <c r="F44" s="107"/>
      <c r="G44" s="107"/>
      <c r="H44" s="107"/>
    </row>
    <row r="45" spans="1:9" ht="12.95" customHeight="1" x14ac:dyDescent="0.45">
      <c r="A45" s="32"/>
      <c r="B45" s="82" t="str">
        <f>_xlfn.CONCAT("(",SCHEDULE!$A21,") - ",TEXT(SCHEDULE!$C21,"DDD M/D")," ",TEXT(SCHEDULE!$D21,"H:MM AM/PM"),"
 (",SCHEDULE!$L21,")")</f>
        <v>(17) - Wed 6/18 6:00 PM
 (PGP-Novak Park)</v>
      </c>
      <c r="D45" s="93"/>
      <c r="F45" s="107"/>
      <c r="G45" s="107"/>
      <c r="H45" s="107"/>
    </row>
    <row r="46" spans="1:9" ht="12.95" customHeight="1" x14ac:dyDescent="0.45">
      <c r="A46" s="32"/>
      <c r="B46" s="84"/>
      <c r="C46" s="74" t="str">
        <f ca="1">IF(SCHEDULE!$P28&lt;1,SCHEDULE!$F28,_xlfn.CONCAT(SCHEDULE!$F28," - ", SCHEDULE!$G28))</f>
        <v>Upper Providence 2 - 1</v>
      </c>
      <c r="D46" s="93"/>
      <c r="E46" s="33" t="str">
        <f ca="1">IF(SCHEDULE!$P36&lt;1,SCHEDULE!$F36,_xlfn.CONCAT(SCHEDULE!$F36," - ", SCHEDULE!$G36))</f>
        <v>Coventry - 7</v>
      </c>
      <c r="F46" s="107"/>
      <c r="G46" s="107"/>
      <c r="H46" s="107"/>
    </row>
    <row r="47" spans="1:9" ht="12.95" customHeight="1" x14ac:dyDescent="0.45">
      <c r="A47" s="32"/>
      <c r="B47" s="84"/>
      <c r="C47" s="86" t="str">
        <f>_xlfn.CONCAT("(",SCHEDULE!$A28,") - ",TEXT(SCHEDULE!$C28,"DDD M/D")," ",TEXT(SCHEDULE!$D28,"H:MM AM/PM"),"
 (",SCHEDULE!$L28,")")</f>
        <v>(23) - Sat 6/21 11:00 AM
 (UP-MacFarlan Park)</v>
      </c>
      <c r="D47" s="93"/>
      <c r="E47" s="103" t="str">
        <f>_xlfn.CONCAT("(",SCHEDULE!$A36,") - ",TEXT(SCHEDULE!$C36,"DDD M/D")," ",TEXT(SCHEDULE!$D36,"H:MM AM/PM"),"
 (",SCHEDULE!$L36,")")</f>
        <v>(28) - Wed 6/25 6:00 PM
 (CV-Monument Park)</v>
      </c>
      <c r="F47" s="107"/>
      <c r="G47" s="107"/>
      <c r="H47" s="107"/>
      <c r="I47" s="34" t="str">
        <f ca="1">+SCHEDULE!F44</f>
        <v>Upper Providence 1</v>
      </c>
    </row>
    <row r="48" spans="1:9" ht="12.95" customHeight="1" x14ac:dyDescent="0.45">
      <c r="A48" s="33" t="str">
        <f ca="1">IF(SCHEDULE!$P11&lt;1,SCHEDULE!$F11,_xlfn.CONCAT(SCHEDULE!$F11," - ", SCHEDULE!$G11))</f>
        <v>GVE 2 - 24</v>
      </c>
      <c r="B48" s="84"/>
      <c r="C48" s="87"/>
      <c r="D48" s="93"/>
      <c r="E48" s="104"/>
      <c r="F48" s="107"/>
      <c r="G48" s="107"/>
      <c r="H48" s="107"/>
      <c r="I48" s="36" t="str">
        <f ca="1">IF(I47="CHAMPION","","CHAMPION")</f>
        <v>CHAMPION</v>
      </c>
    </row>
    <row r="49" spans="1:8" ht="12.95" customHeight="1" x14ac:dyDescent="0.45">
      <c r="A49" s="82" t="str">
        <f>_xlfn.CONCAT("(",SCHEDULE!$A11,") - ",TEXT(SCHEDULE!$C11,"DDD M/D")," ",TEXT(SCHEDULE!$D11,"H:MM AM/PM"),"
 (",SCHEDULE!$L11,")")</f>
        <v>(9) - Sun 6/15 1:00 PM
 (GV-King Road)</v>
      </c>
      <c r="B49" s="85"/>
      <c r="C49" s="87"/>
      <c r="D49" s="93"/>
      <c r="E49" s="104"/>
      <c r="F49" s="107"/>
      <c r="G49" s="108"/>
      <c r="H49" s="107"/>
    </row>
    <row r="50" spans="1:8" ht="12.95" customHeight="1" x14ac:dyDescent="0.45">
      <c r="A50" s="83"/>
      <c r="B50" s="74" t="str">
        <f ca="1">IF(SCHEDULE!$P21&lt;1,SCHEDULE!$I21,_xlfn.CONCAT(SCHEDULE!$I21," - ", SCHEDULE!$J21))</f>
        <v>GVE 2 - 3</v>
      </c>
      <c r="C50" s="87"/>
      <c r="D50" s="93"/>
      <c r="E50" s="104"/>
      <c r="F50" s="107"/>
      <c r="G50" s="33" t="str">
        <f ca="1">IF(SCHEDULE!$P40&lt;1,SCHEDULE!$I40,_xlfn.CONCAT(SCHEDULE!$I40," - ", SCHEDULE!$J40))</f>
        <v>Coventry - 1</v>
      </c>
      <c r="H50" s="107"/>
    </row>
    <row r="51" spans="1:8" ht="12.95" customHeight="1" x14ac:dyDescent="0.45">
      <c r="A51" s="74" t="str">
        <f ca="1">IF(SCHEDULE!$P11&lt;1,SCHEDULE!$I11,_xlfn.CONCAT(SCHEDULE!$I11," - ", SCHEDULE!$J11))</f>
        <v>Chester Valley 2 - 12</v>
      </c>
      <c r="B51" s="32"/>
      <c r="C51" s="87"/>
      <c r="D51" s="93"/>
      <c r="E51" s="104"/>
      <c r="F51" s="107"/>
      <c r="H51" s="107"/>
    </row>
    <row r="52" spans="1:8" ht="12.95" customHeight="1" x14ac:dyDescent="0.45">
      <c r="A52" s="32"/>
      <c r="B52" s="32"/>
      <c r="C52" s="87"/>
      <c r="D52" s="94"/>
      <c r="E52" s="104"/>
      <c r="F52" s="107"/>
      <c r="H52" s="107"/>
    </row>
    <row r="53" spans="1:8" ht="12.95" customHeight="1" x14ac:dyDescent="0.45">
      <c r="A53" s="74" t="str">
        <f ca="1">IF(SCHEDULE!$P12&lt;1,SCHEDULE!$F12,_xlfn.CONCAT(SCHEDULE!$F12," - ", SCHEDULE!$G12))</f>
        <v>Lower Perk 2 - 1</v>
      </c>
      <c r="B53" s="32"/>
      <c r="C53" s="87"/>
      <c r="D53" s="33" t="str">
        <f ca="1">IF(SCHEDULE!$P32&lt;1,SCHEDULE!$I32,_xlfn.CONCAT(SCHEDULE!$I32," - ", SCHEDULE!$J32))</f>
        <v>Coventry - 16</v>
      </c>
      <c r="E53" s="104"/>
      <c r="F53" s="107"/>
      <c r="H53" s="107"/>
    </row>
    <row r="54" spans="1:8" ht="12.95" customHeight="1" x14ac:dyDescent="0.45">
      <c r="A54" s="82" t="str">
        <f>_xlfn.CONCAT("(",SCHEDULE!$A12,") - ",TEXT(SCHEDULE!$C12,"DDD M/D")," ",TEXT(SCHEDULE!$D12,"H:MM AM/PM"),"
 (",SCHEDULE!$L12,")")</f>
        <v>(10) - Sun 6/15 3:00 PM
 (GV-King Road)</v>
      </c>
      <c r="B54" s="74" t="str">
        <f ca="1">IF(SCHEDULE!$P22&lt;1,SCHEDULE!$F22,_xlfn.CONCAT(SCHEDULE!$F22," - ", SCHEDULE!$G22))</f>
        <v>Radnor/Wayne 2 - 5</v>
      </c>
      <c r="C54" s="87"/>
      <c r="E54" s="104"/>
      <c r="F54" s="107"/>
      <c r="H54" s="107"/>
    </row>
    <row r="55" spans="1:8" ht="12.95" customHeight="1" x14ac:dyDescent="0.45">
      <c r="A55" s="83"/>
      <c r="B55" s="82" t="str">
        <f>_xlfn.CONCAT("(",SCHEDULE!$A22,") - ",TEXT(SCHEDULE!$C22,"DDD M/D")," ",TEXT(SCHEDULE!$D22,"H:MM AM/PM"),"
 (",SCHEDULE!$L22,")")</f>
        <v>(18) - Wed 6/18 8:00 PM
 (COV-Wampler Complex)</v>
      </c>
      <c r="C55" s="87"/>
      <c r="E55" s="104"/>
      <c r="F55" s="107"/>
      <c r="H55" s="107"/>
    </row>
    <row r="56" spans="1:8" ht="12.95" customHeight="1" x14ac:dyDescent="0.45">
      <c r="A56" s="33" t="str">
        <f ca="1">IF(SCHEDULE!$P12&lt;1,SCHEDULE!$I12,_xlfn.CONCAT(SCHEDULE!$I12," - ", SCHEDULE!$J12))</f>
        <v>Radnor/Wayne 2 - 3</v>
      </c>
      <c r="B56" s="84"/>
      <c r="C56" s="87"/>
      <c r="E56" s="104"/>
      <c r="F56" s="107"/>
      <c r="H56" s="107"/>
    </row>
    <row r="57" spans="1:8" ht="12.95" customHeight="1" x14ac:dyDescent="0.45">
      <c r="A57" s="32"/>
      <c r="B57" s="84"/>
      <c r="C57" s="88"/>
      <c r="E57" s="104"/>
      <c r="F57" s="108"/>
      <c r="H57" s="107"/>
    </row>
    <row r="58" spans="1:8" ht="12.95" customHeight="1" x14ac:dyDescent="0.45">
      <c r="A58" s="32"/>
      <c r="B58" s="84"/>
      <c r="C58" s="33" t="str">
        <f ca="1">IF(SCHEDULE!$P28&lt;1,SCHEDULE!$I28,_xlfn.CONCAT(SCHEDULE!$I28," - ", SCHEDULE!$J28))</f>
        <v>Coventry - 9</v>
      </c>
      <c r="E58" s="104"/>
      <c r="F58" s="33" t="str">
        <f ca="1">IF(SCHEDULE!$P38&lt;1,SCHEDULE!$I38,_xlfn.CONCAT(SCHEDULE!$I38," - ", SCHEDULE!$J38))</f>
        <v>Coventry - 11</v>
      </c>
      <c r="H58" s="107"/>
    </row>
    <row r="59" spans="1:8" ht="12.95" customHeight="1" x14ac:dyDescent="0.45">
      <c r="A59" s="32"/>
      <c r="B59" s="85"/>
      <c r="E59" s="104"/>
      <c r="H59" s="107"/>
    </row>
    <row r="60" spans="1:8" ht="12.95" customHeight="1" x14ac:dyDescent="0.45">
      <c r="A60" s="32"/>
      <c r="B60" s="33" t="str">
        <f ca="1">IF(SCHEDULE!$P22&lt;1,SCHEDULE!$I22,_xlfn.CONCAT(SCHEDULE!$I22," - ", SCHEDULE!$J22))</f>
        <v>Coventry - 18</v>
      </c>
      <c r="E60" s="104"/>
      <c r="H60" s="108"/>
    </row>
    <row r="61" spans="1:8" ht="12.95" customHeight="1" x14ac:dyDescent="0.45">
      <c r="A61" s="32"/>
      <c r="B61" s="32"/>
      <c r="D61" s="33" t="str">
        <f ca="1">IF(SCHEDULE!$P31&lt;1,SCHEDULE!$F31,_xlfn.CONCAT(SCHEDULE!$F31," - ", SCHEDULE!$G31))</f>
        <v>Lower Merion - 12</v>
      </c>
      <c r="E61" s="104"/>
      <c r="H61" s="33" t="str">
        <f ca="1">IF(SCHEDULE!$P42&lt;1,SCHEDULE!$I42,_xlfn.CONCAT(SCHEDULE!$I42," - ", SCHEDULE!$J42))</f>
        <v>Not Necessary</v>
      </c>
    </row>
    <row r="62" spans="1:8" ht="12.95" customHeight="1" x14ac:dyDescent="0.45">
      <c r="A62" s="32"/>
      <c r="B62" s="32"/>
      <c r="D62" s="92" t="str">
        <f>_xlfn.CONCAT("(",SCHEDULE!$A31,") - ",TEXT(SCHEDULE!$C31,"DDD M/D")," ",TEXT(SCHEDULE!$D31,"H:MM AM/PM"),"
 (",SCHEDULE!$L31,")")</f>
        <v>(25) - Mon 6/23 6:00 PM
 (R/W-Encke Park)</v>
      </c>
      <c r="E62" s="104"/>
    </row>
    <row r="63" spans="1:8" ht="12.95" customHeight="1" x14ac:dyDescent="0.45">
      <c r="A63" s="32"/>
      <c r="B63" s="32"/>
      <c r="D63" s="93"/>
      <c r="E63" s="104"/>
    </row>
    <row r="64" spans="1:8" ht="12.95" customHeight="1" x14ac:dyDescent="0.45">
      <c r="A64" s="32"/>
      <c r="B64" s="33" t="str">
        <f ca="1">IF(SCHEDULE!$P23&lt;1,SCHEDULE!$F23,_xlfn.CONCAT(SCHEDULE!$F23," - ", SCHEDULE!$G23))</f>
        <v>Chester Valley 1 - 16</v>
      </c>
      <c r="D64" s="93"/>
      <c r="E64" s="104"/>
    </row>
    <row r="65" spans="1:5" ht="12.95" customHeight="1" x14ac:dyDescent="0.45">
      <c r="A65" s="32"/>
      <c r="B65" s="82" t="str">
        <f>_xlfn.CONCAT("(",SCHEDULE!$A23,") - ",TEXT(SCHEDULE!$C23,"DDD M/D")," ",TEXT(SCHEDULE!$D23,"H:MM AM/PM"),"
 (",SCHEDULE!$L23,")")</f>
        <v>(19) - Wed 6/18 8:00 PM
 (PGP-Novak Park)</v>
      </c>
      <c r="D65" s="93"/>
      <c r="E65" s="104"/>
    </row>
    <row r="66" spans="1:5" ht="12.95" customHeight="1" x14ac:dyDescent="0.45">
      <c r="A66" s="32"/>
      <c r="B66" s="84"/>
      <c r="C66" s="74" t="str">
        <f ca="1">IF(SCHEDULE!$P29&lt;1,SCHEDULE!$F29,_xlfn.CONCAT(SCHEDULE!$F29," - ", SCHEDULE!$G29))</f>
        <v>Chester Valley 1 - 2</v>
      </c>
      <c r="D66" s="93"/>
      <c r="E66" s="105"/>
    </row>
    <row r="67" spans="1:5" ht="12.95" customHeight="1" x14ac:dyDescent="0.45">
      <c r="A67" s="32"/>
      <c r="B67" s="84"/>
      <c r="C67" s="89" t="str">
        <f>_xlfn.CONCAT("(",SCHEDULE!$A29,") - ",TEXT(SCHEDULE!$C29,"DDD M/D")," ",TEXT(SCHEDULE!$D29,"H:MM AM/PM"),"
 (",SCHEDULE!$L29,")")</f>
        <v>(24) - Sat 6/21 1:00 PM
 (EX-Ship Park)</v>
      </c>
      <c r="D67" s="93"/>
      <c r="E67" s="74" t="str">
        <f ca="1">IF(SCHEDULE!$P36&lt;1,SCHEDULE!$I36,_xlfn.CONCAT(SCHEDULE!$I36," - ", SCHEDULE!$J36))</f>
        <v>Lower Merion - 2</v>
      </c>
    </row>
    <row r="68" spans="1:5" ht="12.95" customHeight="1" x14ac:dyDescent="0.45">
      <c r="A68" s="74" t="str">
        <f ca="1">IF(SCHEDULE!$P13&lt;1,SCHEDULE!$F13,_xlfn.CONCAT(SCHEDULE!$F13," - ", SCHEDULE!$G13))</f>
        <v>Devon/Strafford - 5</v>
      </c>
      <c r="B68" s="84"/>
      <c r="C68" s="90"/>
      <c r="D68" s="93"/>
    </row>
    <row r="69" spans="1:5" ht="12.95" customHeight="1" x14ac:dyDescent="0.45">
      <c r="A69" s="82" t="str">
        <f>_xlfn.CONCAT("(",SCHEDULE!$A13,") - ",TEXT(SCHEDULE!$C13,"DDD M/D")," ",TEXT(SCHEDULE!$D13,"H:MM AM/PM"),"
 (",SCHEDULE!$L13,")")</f>
        <v>(11) - Sun 6/15 1:00 PM
 (BP-Field of Dreams)</v>
      </c>
      <c r="B69" s="85"/>
      <c r="C69" s="90"/>
      <c r="D69" s="93"/>
    </row>
    <row r="70" spans="1:5" ht="12.95" customHeight="1" x14ac:dyDescent="0.45">
      <c r="A70" s="83"/>
      <c r="B70" s="74" t="str">
        <f ca="1">IF(SCHEDULE!$P23&lt;1,SCHEDULE!$I23,_xlfn.CONCAT(SCHEDULE!$I23," - ", SCHEDULE!$J23))</f>
        <v>Pottsgrove-Pottstown - 2</v>
      </c>
      <c r="C70" s="90"/>
      <c r="D70" s="93"/>
    </row>
    <row r="71" spans="1:5" ht="12.95" customHeight="1" x14ac:dyDescent="0.45">
      <c r="A71" s="33" t="str">
        <f ca="1">IF(SCHEDULE!$P13&lt;1,SCHEDULE!$I13,_xlfn.CONCAT(SCHEDULE!$I13," - ", SCHEDULE!$J13))</f>
        <v>Pottsgrove-Pottstown - 11</v>
      </c>
      <c r="B71" s="32"/>
      <c r="C71" s="90"/>
      <c r="D71" s="93"/>
    </row>
    <row r="72" spans="1:5" ht="12.95" customHeight="1" x14ac:dyDescent="0.45">
      <c r="A72" s="32"/>
      <c r="B72" s="32"/>
      <c r="C72" s="90"/>
      <c r="D72" s="94"/>
    </row>
    <row r="73" spans="1:5" ht="12.95" customHeight="1" x14ac:dyDescent="0.45">
      <c r="A73" s="74" t="str">
        <f ca="1">IF(SCHEDULE!$P14&lt;1,SCHEDULE!$F14,_xlfn.CONCAT(SCHEDULE!$F14," - ", SCHEDULE!$G14))</f>
        <v>Berwyn-Paoli - 9</v>
      </c>
      <c r="B73" s="32"/>
      <c r="C73" s="90"/>
      <c r="D73" s="74" t="str">
        <f ca="1">IF(SCHEDULE!$P31&lt;1,SCHEDULE!$I31,_xlfn.CONCAT(SCHEDULE!$I31," - ", SCHEDULE!$J31))</f>
        <v>Lower Perk 1 - 1</v>
      </c>
    </row>
    <row r="74" spans="1:5" ht="12.95" customHeight="1" x14ac:dyDescent="0.45">
      <c r="A74" s="82" t="str">
        <f>_xlfn.CONCAT("(",SCHEDULE!$A14,") - ",TEXT(SCHEDULE!$C14,"DDD M/D")," ",TEXT(SCHEDULE!$D14,"H:MM AM/PM"),"
 (",SCHEDULE!$L14,")")</f>
        <v>(12) - Sun 6/15 3:00 PM
 (BP-Field of Dreams)</v>
      </c>
      <c r="B74" s="74" t="str">
        <f ca="1">IF(SCHEDULE!$P24&lt;1,SCHEDULE!$F24,_xlfn.CONCAT(SCHEDULE!$F24," - ", SCHEDULE!$G24))</f>
        <v>GVE 3 - 5</v>
      </c>
      <c r="C74" s="90"/>
    </row>
    <row r="75" spans="1:5" ht="12.95" customHeight="1" x14ac:dyDescent="0.45">
      <c r="A75" s="83"/>
      <c r="B75" s="82" t="str">
        <f>_xlfn.CONCAT("(",SCHEDULE!$A24,") - ",TEXT(SCHEDULE!$C24,"DDD M/D")," ",TEXT(SCHEDULE!$D24,"H:MM AM/PM"),"
 (",SCHEDULE!$L24,")")</f>
        <v>(20) - Wed 6/18 6:00 PM
 (COV-Wampler Complex)</v>
      </c>
      <c r="C75" s="90"/>
    </row>
    <row r="76" spans="1:5" ht="12.95" customHeight="1" x14ac:dyDescent="0.45">
      <c r="A76" s="33" t="str">
        <f ca="1">IF(SCHEDULE!$P14&lt;1,SCHEDULE!$I14,_xlfn.CONCAT(SCHEDULE!$I14," - ", SCHEDULE!$J14))</f>
        <v>GVE 3 - 10</v>
      </c>
      <c r="B76" s="84"/>
      <c r="C76" s="90"/>
    </row>
    <row r="77" spans="1:5" ht="12.95" customHeight="1" x14ac:dyDescent="0.45">
      <c r="B77" s="84"/>
      <c r="C77" s="91"/>
    </row>
    <row r="78" spans="1:5" ht="12.95" customHeight="1" x14ac:dyDescent="0.45">
      <c r="B78" s="84"/>
      <c r="C78" s="33" t="str">
        <f ca="1">IF(SCHEDULE!$P29&lt;1,SCHEDULE!$I29,_xlfn.CONCAT(SCHEDULE!$I29," - ", SCHEDULE!$J29))</f>
        <v>Lower Perk 1 - 3</v>
      </c>
    </row>
    <row r="79" spans="1:5" ht="12.95" customHeight="1" x14ac:dyDescent="0.45">
      <c r="B79" s="85"/>
    </row>
    <row r="80" spans="1:5" ht="12.95" customHeight="1" x14ac:dyDescent="0.45">
      <c r="B80" s="33" t="str">
        <f ca="1">IF(SCHEDULE!$P24&lt;1,SCHEDULE!$I24,_xlfn.CONCAT(SCHEDULE!$I24," - ", SCHEDULE!$J24))</f>
        <v>Lower Perk 1 - 15</v>
      </c>
    </row>
    <row r="81" spans="1:2" ht="12.95" customHeight="1" x14ac:dyDescent="0.45">
      <c r="B81" s="32"/>
    </row>
    <row r="82" spans="1:2" ht="12.95" customHeight="1" x14ac:dyDescent="0.45">
      <c r="B82" s="32"/>
    </row>
    <row r="83" spans="1:2" ht="12.95" customHeight="1" x14ac:dyDescent="0.45">
      <c r="B83" s="32"/>
    </row>
    <row r="84" spans="1:2" ht="12.95" customHeight="1" x14ac:dyDescent="0.45">
      <c r="A84" s="32"/>
      <c r="B84" s="32"/>
    </row>
    <row r="85" spans="1:2" ht="12.95" customHeight="1" x14ac:dyDescent="0.45">
      <c r="A85" s="32"/>
      <c r="B85" s="32"/>
    </row>
    <row r="86" spans="1:2" ht="12.95" customHeight="1" x14ac:dyDescent="0.45">
      <c r="A86" s="32"/>
      <c r="B86" s="32"/>
    </row>
    <row r="87" spans="1:2" ht="12.95" customHeight="1" x14ac:dyDescent="0.45">
      <c r="A87" s="32"/>
      <c r="B87" s="32"/>
    </row>
    <row r="88" spans="1:2" ht="12.95" customHeight="1" x14ac:dyDescent="0.45">
      <c r="A88" s="32"/>
      <c r="B88" s="32"/>
    </row>
    <row r="89" spans="1:2" ht="12.95" customHeight="1" x14ac:dyDescent="0.45">
      <c r="A89" s="32"/>
      <c r="B89" s="32"/>
    </row>
    <row r="90" spans="1:2" ht="12.95" customHeight="1" x14ac:dyDescent="0.45">
      <c r="A90" s="32"/>
      <c r="B90" s="32"/>
    </row>
    <row r="91" spans="1:2" ht="12.95" customHeight="1" x14ac:dyDescent="0.45">
      <c r="A91" s="32"/>
      <c r="B91" s="32"/>
    </row>
    <row r="92" spans="1:2" ht="12.95" customHeight="1" x14ac:dyDescent="0.45">
      <c r="A92" s="32"/>
      <c r="B92" s="32"/>
    </row>
    <row r="93" spans="1:2" ht="12.95" customHeight="1" x14ac:dyDescent="0.45">
      <c r="A93" s="32"/>
      <c r="B93" s="32"/>
    </row>
    <row r="94" spans="1:2" ht="12.95" customHeight="1" x14ac:dyDescent="0.45">
      <c r="A94" s="32"/>
      <c r="B94" s="32"/>
    </row>
    <row r="95" spans="1:2" ht="12.95" customHeight="1" x14ac:dyDescent="0.45">
      <c r="A95" s="32"/>
      <c r="B95" s="32"/>
    </row>
    <row r="96" spans="1:2" ht="12.95" customHeight="1" x14ac:dyDescent="0.45">
      <c r="A96" s="32"/>
      <c r="B96" s="32"/>
    </row>
    <row r="97" spans="1:2" ht="12.95" customHeight="1" x14ac:dyDescent="0.45">
      <c r="A97" s="32"/>
      <c r="B97" s="32"/>
    </row>
    <row r="98" spans="1:2" ht="12.95" customHeight="1" x14ac:dyDescent="0.45">
      <c r="A98" s="32"/>
      <c r="B98" s="32"/>
    </row>
    <row r="99" spans="1:2" ht="12.95" customHeight="1" x14ac:dyDescent="0.45">
      <c r="A99" s="32"/>
      <c r="B99" s="32"/>
    </row>
    <row r="100" spans="1:2" ht="12.95" customHeight="1" x14ac:dyDescent="0.45">
      <c r="A100" s="32"/>
      <c r="B100" s="32"/>
    </row>
    <row r="101" spans="1:2" ht="12.95" customHeight="1" x14ac:dyDescent="0.45">
      <c r="A101" s="32"/>
      <c r="B101" s="32"/>
    </row>
    <row r="102" spans="1:2" ht="12.95" customHeight="1" x14ac:dyDescent="0.45">
      <c r="A102" s="32"/>
      <c r="B102" s="32"/>
    </row>
    <row r="103" spans="1:2" ht="12.95" customHeight="1" x14ac:dyDescent="0.45">
      <c r="A103" s="32"/>
      <c r="B103" s="32"/>
    </row>
    <row r="104" spans="1:2" ht="12.95" customHeight="1" x14ac:dyDescent="0.45">
      <c r="A104" s="32"/>
      <c r="B104" s="32"/>
    </row>
    <row r="105" spans="1:2" ht="12.95" customHeight="1" x14ac:dyDescent="0.45">
      <c r="A105" s="32"/>
      <c r="B105" s="32"/>
    </row>
    <row r="106" spans="1:2" ht="12.95" customHeight="1" x14ac:dyDescent="0.45">
      <c r="A106" s="32"/>
    </row>
    <row r="107" spans="1:2" ht="12.95" customHeight="1" x14ac:dyDescent="0.45">
      <c r="A107" s="32"/>
    </row>
    <row r="108" spans="1:2" ht="12.95" customHeight="1" x14ac:dyDescent="0.45">
      <c r="A108" s="32"/>
    </row>
    <row r="109" spans="1:2" ht="12.95" customHeight="1" x14ac:dyDescent="0.45">
      <c r="A109" s="32"/>
    </row>
  </sheetData>
  <mergeCells count="34">
    <mergeCell ref="G3:G4"/>
    <mergeCell ref="H3:I6"/>
    <mergeCell ref="G5:G6"/>
    <mergeCell ref="E47:E66"/>
    <mergeCell ref="F40:F57"/>
    <mergeCell ref="G21:G49"/>
    <mergeCell ref="H34:H60"/>
    <mergeCell ref="D11:E31"/>
    <mergeCell ref="C47:C57"/>
    <mergeCell ref="C67:C77"/>
    <mergeCell ref="D42:D52"/>
    <mergeCell ref="D62:D72"/>
    <mergeCell ref="B65:B69"/>
    <mergeCell ref="A69:A70"/>
    <mergeCell ref="A74:A75"/>
    <mergeCell ref="B75:B79"/>
    <mergeCell ref="B45:B49"/>
    <mergeCell ref="A49:A50"/>
    <mergeCell ref="A54:A55"/>
    <mergeCell ref="B55:B59"/>
    <mergeCell ref="B24:B28"/>
    <mergeCell ref="C26:C36"/>
    <mergeCell ref="A28:A29"/>
    <mergeCell ref="A33:A34"/>
    <mergeCell ref="B34:B38"/>
    <mergeCell ref="A38:A39"/>
    <mergeCell ref="A23:A24"/>
    <mergeCell ref="A3:A4"/>
    <mergeCell ref="B4:B8"/>
    <mergeCell ref="C6:C16"/>
    <mergeCell ref="A8:A9"/>
    <mergeCell ref="A13:A14"/>
    <mergeCell ref="B14:B18"/>
    <mergeCell ref="A18:A19"/>
  </mergeCells>
  <pageMargins left="0.25" right="0.25" top="0.5" bottom="0.5" header="0.25" footer="0.25"/>
  <pageSetup scale="49"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ACFB2-5DE2-4CD2-AF26-7DF80101C6C8}">
  <dimension ref="A1:T78"/>
  <sheetViews>
    <sheetView zoomScale="80" zoomScaleNormal="80" workbookViewId="0">
      <pane xSplit="5" ySplit="1" topLeftCell="I2" activePane="bottomRight" state="frozen"/>
      <selection pane="topRight" activeCell="E1" sqref="E1"/>
      <selection pane="bottomLeft" activeCell="A2" sqref="A2"/>
      <selection pane="bottomRight" activeCell="S25" sqref="S25"/>
    </sheetView>
  </sheetViews>
  <sheetFormatPr defaultRowHeight="14.25" x14ac:dyDescent="0.45"/>
  <cols>
    <col min="1" max="1" width="7.73046875" bestFit="1" customWidth="1"/>
    <col min="2" max="2" width="4.265625" style="26" bestFit="1" customWidth="1"/>
    <col min="3" max="3" width="22" style="26" bestFit="1" customWidth="1"/>
    <col min="4" max="4" width="19.3984375" style="27" bestFit="1" customWidth="1"/>
    <col min="5" max="5" width="30.3984375" style="26" bestFit="1" customWidth="1"/>
    <col min="6" max="6" width="13.3984375" style="4" bestFit="1" customWidth="1"/>
    <col min="7" max="7" width="22" style="26" bestFit="1" customWidth="1"/>
    <col min="8" max="8" width="23.86328125" style="4" bestFit="1" customWidth="1"/>
    <col min="9" max="9" width="6.59765625" style="4" bestFit="1" customWidth="1"/>
    <col min="10" max="10" width="20.1328125" style="4" bestFit="1" customWidth="1"/>
    <col min="11" max="11" width="12.59765625" style="26" customWidth="1"/>
    <col min="12" max="12" width="23.86328125" style="4" bestFit="1" customWidth="1"/>
    <col min="13" max="13" width="15.1328125" bestFit="1" customWidth="1"/>
    <col min="14" max="14" width="8.86328125" bestFit="1" customWidth="1"/>
    <col min="15" max="15" width="16.73046875" bestFit="1" customWidth="1"/>
    <col min="16" max="16" width="11.59765625" bestFit="1" customWidth="1"/>
    <col min="17" max="17" width="13.3984375" bestFit="1" customWidth="1"/>
    <col min="18" max="18" width="7.265625" bestFit="1" customWidth="1"/>
    <col min="19" max="20" width="12.59765625" customWidth="1"/>
    <col min="21" max="21" width="6.59765625" bestFit="1" customWidth="1"/>
    <col min="22" max="22" width="6.1328125" bestFit="1" customWidth="1"/>
    <col min="23" max="23" width="20.73046875" bestFit="1" customWidth="1"/>
    <col min="24" max="24" width="13.73046875" bestFit="1" customWidth="1"/>
    <col min="25" max="25" width="17.86328125" bestFit="1" customWidth="1"/>
    <col min="26" max="26" width="30.265625" bestFit="1" customWidth="1"/>
    <col min="27" max="27" width="22.3984375" bestFit="1" customWidth="1"/>
  </cols>
  <sheetData>
    <row r="1" spans="1:20" x14ac:dyDescent="0.45">
      <c r="A1" s="1" t="s">
        <v>150</v>
      </c>
      <c r="B1" s="1" t="str">
        <f>+SCHEDULE!A1</f>
        <v>G #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57"/>
      <c r="G1" s="115" t="str">
        <f>+SCHEDULE!F1</f>
        <v>Teams &amp; Scores</v>
      </c>
      <c r="H1" s="116"/>
      <c r="I1" s="116"/>
      <c r="J1" s="116"/>
      <c r="K1" s="117"/>
      <c r="L1" s="1" t="str">
        <f>+SCHEDULE!L1</f>
        <v>Host/Park/Field</v>
      </c>
      <c r="M1" s="1" t="str">
        <f>+SCHEDULE!M1</f>
        <v>Umpire(s)</v>
      </c>
      <c r="N1" s="58" t="s">
        <v>154</v>
      </c>
      <c r="O1" s="58" t="s">
        <v>155</v>
      </c>
      <c r="P1" s="58" t="s">
        <v>156</v>
      </c>
      <c r="Q1" s="58" t="s">
        <v>157</v>
      </c>
      <c r="R1" s="58" t="s">
        <v>158</v>
      </c>
      <c r="S1" s="58" t="s">
        <v>172</v>
      </c>
      <c r="T1" s="58" t="s">
        <v>173</v>
      </c>
    </row>
    <row r="2" spans="1:20" x14ac:dyDescent="0.45">
      <c r="A2" s="56" t="str">
        <f>CONCATENATE($C$59,TEXT(B2,"00"))</f>
        <v>BB-9-01</v>
      </c>
      <c r="B2" s="7">
        <f>+SCHEDULE!A2</f>
        <v>1</v>
      </c>
      <c r="C2" s="8">
        <f>+SCHEDULE!B2</f>
        <v>45822</v>
      </c>
      <c r="D2" s="9">
        <f>+SCHEDULE!C2</f>
        <v>45822</v>
      </c>
      <c r="E2" s="11">
        <f>+SCHEDULE!D2</f>
        <v>0.625</v>
      </c>
      <c r="F2" s="11"/>
      <c r="G2" s="13" t="str">
        <f>+SCHEDULE!F2</f>
        <v>GVE 2</v>
      </c>
      <c r="H2" s="14">
        <f>+SCHEDULE!G2</f>
        <v>2</v>
      </c>
      <c r="I2" s="14" t="str">
        <f>+SCHEDULE!H2</f>
        <v>vs</v>
      </c>
      <c r="J2" s="13" t="str">
        <f>+SCHEDULE!I2</f>
        <v>Radnor/Wayne 1</v>
      </c>
      <c r="K2" s="14">
        <f>+SCHEDULE!J2</f>
        <v>15</v>
      </c>
      <c r="L2" s="14" t="str">
        <f>+SCHEDULE!L2</f>
        <v>R/W-Encke Park</v>
      </c>
      <c r="M2" s="14" t="str">
        <f>+SCHEDULE!M2</f>
        <v>Local Umpires</v>
      </c>
      <c r="N2" s="59" t="s">
        <v>159</v>
      </c>
      <c r="O2" s="60" t="s">
        <v>42</v>
      </c>
      <c r="P2" s="60" t="s">
        <v>160</v>
      </c>
      <c r="Q2" s="60"/>
      <c r="R2" s="60"/>
      <c r="S2" s="60" t="str">
        <f>VLOOKUP($G2,$L$37:$M$52,2,FALSE)</f>
        <v>GVE2-D27-BB9</v>
      </c>
      <c r="T2" s="60" t="str">
        <f>VLOOKUP($J2,$L$37:$M$52,2,FALSE)</f>
        <v>RW1-D27-BB9</v>
      </c>
    </row>
    <row r="3" spans="1:20" x14ac:dyDescent="0.45">
      <c r="A3" s="56" t="str">
        <f t="shared" ref="A3:A32" si="0">CONCATENATE($C$59,TEXT(B3,"00"))</f>
        <v>BB-9-02</v>
      </c>
      <c r="B3" s="7">
        <f>+SCHEDULE!A3</f>
        <v>2</v>
      </c>
      <c r="C3" s="8">
        <f>+SCHEDULE!B3</f>
        <v>45822</v>
      </c>
      <c r="D3" s="9">
        <f>+SCHEDULE!C3</f>
        <v>45822</v>
      </c>
      <c r="E3" s="11">
        <f>+SCHEDULE!D3</f>
        <v>0.5</v>
      </c>
      <c r="F3" s="11"/>
      <c r="G3" s="13" t="str">
        <f>+SCHEDULE!F3</f>
        <v>Chester Valley 2</v>
      </c>
      <c r="H3" s="14">
        <f>+SCHEDULE!G3</f>
        <v>0</v>
      </c>
      <c r="I3" s="14" t="str">
        <f>+SCHEDULE!H3</f>
        <v>vs</v>
      </c>
      <c r="J3" s="13" t="str">
        <f>+SCHEDULE!I3</f>
        <v>Lower Perk 1</v>
      </c>
      <c r="K3" s="14">
        <f>+SCHEDULE!J3</f>
        <v>10</v>
      </c>
      <c r="L3" s="14" t="str">
        <f>+SCHEDULE!L3</f>
        <v>LP-Palmer Park</v>
      </c>
      <c r="M3" s="18" t="str">
        <f>+SCHEDULE!M3</f>
        <v>Local Umpires</v>
      </c>
      <c r="N3" s="59" t="s">
        <v>159</v>
      </c>
      <c r="O3" s="60" t="s">
        <v>42</v>
      </c>
      <c r="P3" s="60" t="s">
        <v>160</v>
      </c>
      <c r="Q3" s="60"/>
      <c r="R3" s="60"/>
      <c r="S3" s="60" t="str">
        <f t="shared" ref="S3:S32" si="1">VLOOKUP($G3,$L$37:$M$52,2,FALSE)</f>
        <v>CV2-D27-BB9</v>
      </c>
      <c r="T3" s="60" t="str">
        <f t="shared" ref="T3:T32" si="2">VLOOKUP($J3,$L$37:$M$52,2,FALSE)</f>
        <v>LP1-D27-BB9</v>
      </c>
    </row>
    <row r="4" spans="1:20" x14ac:dyDescent="0.45">
      <c r="A4" s="56" t="str">
        <f t="shared" si="0"/>
        <v>BB-9-03</v>
      </c>
      <c r="B4" s="7">
        <f>+SCHEDULE!A4</f>
        <v>3</v>
      </c>
      <c r="C4" s="8">
        <f>+SCHEDULE!B4</f>
        <v>45822</v>
      </c>
      <c r="D4" s="9">
        <f>+SCHEDULE!C4</f>
        <v>45822</v>
      </c>
      <c r="E4" s="11">
        <f>+SCHEDULE!D4</f>
        <v>0.41666666666666669</v>
      </c>
      <c r="F4" s="11"/>
      <c r="G4" s="13" t="str">
        <f>+SCHEDULE!F4</f>
        <v>Lower Perk 2</v>
      </c>
      <c r="H4" s="14">
        <f>+SCHEDULE!G4</f>
        <v>1</v>
      </c>
      <c r="I4" s="14" t="str">
        <f>+SCHEDULE!H4</f>
        <v>vs</v>
      </c>
      <c r="J4" s="13" t="str">
        <f>+SCHEDULE!I4</f>
        <v>GVE 1</v>
      </c>
      <c r="K4" s="14">
        <f>+SCHEDULE!J4</f>
        <v>11</v>
      </c>
      <c r="L4" s="14" t="str">
        <f>+SCHEDULE!L4</f>
        <v>LP-Palmer Park</v>
      </c>
      <c r="M4" s="14" t="str">
        <f>+SCHEDULE!M4</f>
        <v>Local Umpires</v>
      </c>
      <c r="N4" s="59" t="s">
        <v>159</v>
      </c>
      <c r="O4" s="60" t="s">
        <v>42</v>
      </c>
      <c r="P4" s="60" t="s">
        <v>160</v>
      </c>
      <c r="Q4" s="60"/>
      <c r="R4" s="60"/>
      <c r="S4" s="60" t="str">
        <f t="shared" si="1"/>
        <v>LP2-D27-BB9</v>
      </c>
      <c r="T4" s="60" t="str">
        <f t="shared" si="2"/>
        <v>GVE1-D27-BB9</v>
      </c>
    </row>
    <row r="5" spans="1:20" x14ac:dyDescent="0.45">
      <c r="A5" s="56" t="str">
        <f t="shared" si="0"/>
        <v>BB-9-04</v>
      </c>
      <c r="B5" s="7">
        <f>+SCHEDULE!A5</f>
        <v>4</v>
      </c>
      <c r="C5" s="8">
        <f>+SCHEDULE!B5</f>
        <v>45822</v>
      </c>
      <c r="D5" s="9">
        <f>+SCHEDULE!C5</f>
        <v>45822</v>
      </c>
      <c r="E5" s="11">
        <f>+SCHEDULE!D5</f>
        <v>0.54166666666666663</v>
      </c>
      <c r="F5" s="11"/>
      <c r="G5" s="13" t="str">
        <f>+SCHEDULE!F5</f>
        <v>Radnor/Wayne 2</v>
      </c>
      <c r="H5" s="14">
        <f>+SCHEDULE!G5</f>
        <v>3</v>
      </c>
      <c r="I5" s="14" t="str">
        <f>+SCHEDULE!H5</f>
        <v>vs</v>
      </c>
      <c r="J5" s="13" t="str">
        <f>+SCHEDULE!I5</f>
        <v>Chester Valley 1</v>
      </c>
      <c r="K5" s="14">
        <f>+SCHEDULE!J5</f>
        <v>15</v>
      </c>
      <c r="L5" s="14" t="str">
        <f>+SCHEDULE!L5</f>
        <v>R/W-Encke Park</v>
      </c>
      <c r="M5" s="14" t="str">
        <f>+SCHEDULE!M5</f>
        <v>Local Umpires</v>
      </c>
      <c r="N5" s="59" t="s">
        <v>159</v>
      </c>
      <c r="O5" s="60" t="s">
        <v>42</v>
      </c>
      <c r="P5" s="60" t="s">
        <v>160</v>
      </c>
      <c r="Q5" s="60"/>
      <c r="R5" s="60"/>
      <c r="S5" s="60" t="str">
        <f t="shared" si="1"/>
        <v>RW2-D27-BB9</v>
      </c>
      <c r="T5" s="60" t="str">
        <f t="shared" si="2"/>
        <v>CV1-D27-BB9</v>
      </c>
    </row>
    <row r="6" spans="1:20" x14ac:dyDescent="0.45">
      <c r="A6" s="56" t="str">
        <f t="shared" si="0"/>
        <v>BB-9-05</v>
      </c>
      <c r="B6" s="7">
        <f>+SCHEDULE!A6</f>
        <v>5</v>
      </c>
      <c r="C6" s="8">
        <f>+SCHEDULE!B6</f>
        <v>45822</v>
      </c>
      <c r="D6" s="9">
        <f>+SCHEDULE!C6</f>
        <v>45822</v>
      </c>
      <c r="E6" s="11">
        <f>+SCHEDULE!D6</f>
        <v>0.41666666666666669</v>
      </c>
      <c r="F6" s="11"/>
      <c r="G6" s="13" t="str">
        <f>+SCHEDULE!F6</f>
        <v>Coventry</v>
      </c>
      <c r="H6" s="14">
        <f>+SCHEDULE!G6</f>
        <v>11</v>
      </c>
      <c r="I6" s="14" t="str">
        <f>+SCHEDULE!H6</f>
        <v>vs</v>
      </c>
      <c r="J6" s="13" t="str">
        <f>+SCHEDULE!I6</f>
        <v>Devon/Strafford</v>
      </c>
      <c r="K6" s="14">
        <f>+SCHEDULE!J6</f>
        <v>4</v>
      </c>
      <c r="L6" s="14" t="str">
        <f>+SCHEDULE!L6</f>
        <v>D/S-Clarke Field</v>
      </c>
      <c r="M6" s="14" t="str">
        <f>+SCHEDULE!M6</f>
        <v>Local Umpires</v>
      </c>
      <c r="N6" s="59" t="s">
        <v>159</v>
      </c>
      <c r="O6" s="60" t="s">
        <v>42</v>
      </c>
      <c r="P6" s="60" t="s">
        <v>160</v>
      </c>
      <c r="Q6" s="60"/>
      <c r="R6" s="60"/>
      <c r="S6" s="60" t="str">
        <f t="shared" si="1"/>
        <v>COV-D27-BB9</v>
      </c>
      <c r="T6" s="60" t="str">
        <f t="shared" si="2"/>
        <v>DS-D27-BB9</v>
      </c>
    </row>
    <row r="7" spans="1:20" x14ac:dyDescent="0.45">
      <c r="A7" s="56" t="str">
        <f t="shared" si="0"/>
        <v>BB-9-06</v>
      </c>
      <c r="B7" s="7">
        <f>+SCHEDULE!A7</f>
        <v>6</v>
      </c>
      <c r="C7" s="8">
        <f>+SCHEDULE!B7</f>
        <v>45822</v>
      </c>
      <c r="D7" s="9">
        <f>+SCHEDULE!C7</f>
        <v>45822</v>
      </c>
      <c r="E7" s="11">
        <f>+SCHEDULE!D7</f>
        <v>0.5</v>
      </c>
      <c r="F7" s="11"/>
      <c r="G7" s="13" t="str">
        <f>+SCHEDULE!F7</f>
        <v>Pottsgrove-Pottstown</v>
      </c>
      <c r="H7" s="14">
        <f>+SCHEDULE!G7</f>
        <v>7</v>
      </c>
      <c r="I7" s="14" t="str">
        <f>+SCHEDULE!H7</f>
        <v>vs</v>
      </c>
      <c r="J7" s="13" t="str">
        <f>+SCHEDULE!I7</f>
        <v>Lower Merion</v>
      </c>
      <c r="K7" s="14">
        <f>+SCHEDULE!J7</f>
        <v>21</v>
      </c>
      <c r="L7" s="14" t="str">
        <f>+SCHEDULE!L7</f>
        <v>Lower Merion</v>
      </c>
      <c r="M7" s="18" t="str">
        <f>+SCHEDULE!M7</f>
        <v>Local Umpires</v>
      </c>
      <c r="N7" s="59" t="s">
        <v>159</v>
      </c>
      <c r="O7" s="60" t="s">
        <v>42</v>
      </c>
      <c r="P7" s="60" t="s">
        <v>160</v>
      </c>
      <c r="Q7" s="60"/>
      <c r="R7" s="60"/>
      <c r="S7" s="60" t="str">
        <f t="shared" si="1"/>
        <v>PGP-D27-BB9</v>
      </c>
      <c r="T7" s="60" t="str">
        <f t="shared" si="2"/>
        <v>LM-D27-BB9</v>
      </c>
    </row>
    <row r="8" spans="1:20" x14ac:dyDescent="0.45">
      <c r="A8" s="56" t="str">
        <f t="shared" si="0"/>
        <v>BB-9-07</v>
      </c>
      <c r="B8" s="7">
        <f>+SCHEDULE!A8</f>
        <v>7</v>
      </c>
      <c r="C8" s="8">
        <f>+SCHEDULE!B8</f>
        <v>45822</v>
      </c>
      <c r="D8" s="9">
        <f>+SCHEDULE!C8</f>
        <v>45822</v>
      </c>
      <c r="E8" s="11">
        <f>+SCHEDULE!D8</f>
        <v>0.5</v>
      </c>
      <c r="F8" s="11"/>
      <c r="G8" s="13" t="str">
        <f>+SCHEDULE!F8</f>
        <v>Upper Providence 2</v>
      </c>
      <c r="H8" s="14">
        <f>+SCHEDULE!G8</f>
        <v>18</v>
      </c>
      <c r="I8" s="14" t="str">
        <f>+SCHEDULE!H8</f>
        <v>vs</v>
      </c>
      <c r="J8" s="13" t="str">
        <f>+SCHEDULE!I8</f>
        <v>Berwyn-Paoli</v>
      </c>
      <c r="K8" s="14">
        <f>+SCHEDULE!J8</f>
        <v>6</v>
      </c>
      <c r="L8" s="14" t="str">
        <f>+SCHEDULE!L8</f>
        <v>D/S-Clarke Field</v>
      </c>
      <c r="M8" s="18" t="str">
        <f>+SCHEDULE!M8</f>
        <v>Local Umpires</v>
      </c>
      <c r="N8" s="59" t="s">
        <v>159</v>
      </c>
      <c r="O8" s="60" t="s">
        <v>42</v>
      </c>
      <c r="P8" s="60" t="s">
        <v>160</v>
      </c>
      <c r="Q8" s="60"/>
      <c r="R8" s="60"/>
      <c r="S8" s="60" t="str">
        <f t="shared" si="1"/>
        <v>UP2-D27-BB9</v>
      </c>
      <c r="T8" s="60" t="str">
        <f t="shared" si="2"/>
        <v>BP-D27-BB9</v>
      </c>
    </row>
    <row r="9" spans="1:20" x14ac:dyDescent="0.45">
      <c r="A9" s="56" t="str">
        <f t="shared" si="0"/>
        <v>BB-9-08</v>
      </c>
      <c r="B9" s="7">
        <f>+SCHEDULE!A9</f>
        <v>8</v>
      </c>
      <c r="C9" s="8">
        <f>+SCHEDULE!B9</f>
        <v>45822</v>
      </c>
      <c r="D9" s="9">
        <f>+SCHEDULE!C9</f>
        <v>45822</v>
      </c>
      <c r="E9" s="11">
        <f>+SCHEDULE!D9</f>
        <v>0.58333333333333337</v>
      </c>
      <c r="F9" s="11"/>
      <c r="G9" s="13" t="str">
        <f>+SCHEDULE!F9</f>
        <v>GVE 3</v>
      </c>
      <c r="H9" s="14">
        <f>+SCHEDULE!G9</f>
        <v>2</v>
      </c>
      <c r="I9" s="14" t="str">
        <f>+SCHEDULE!H9</f>
        <v>vs</v>
      </c>
      <c r="J9" s="13" t="str">
        <f>+SCHEDULE!I9</f>
        <v>Upper Providence 1</v>
      </c>
      <c r="K9" s="14">
        <f>+SCHEDULE!J9</f>
        <v>16</v>
      </c>
      <c r="L9" s="14" t="str">
        <f>+SCHEDULE!L9</f>
        <v>Lower Merion</v>
      </c>
      <c r="M9" s="14" t="str">
        <f>+SCHEDULE!M9</f>
        <v>Local Umpires</v>
      </c>
      <c r="N9" s="59" t="s">
        <v>159</v>
      </c>
      <c r="O9" s="60" t="s">
        <v>42</v>
      </c>
      <c r="P9" s="60" t="s">
        <v>160</v>
      </c>
      <c r="Q9" s="60"/>
      <c r="R9" s="60"/>
      <c r="S9" s="60" t="str">
        <f t="shared" si="1"/>
        <v>GVE3-D27-BB9</v>
      </c>
      <c r="T9" s="60" t="str">
        <f t="shared" si="2"/>
        <v>UP1-D27-BB9</v>
      </c>
    </row>
    <row r="10" spans="1:20" x14ac:dyDescent="0.45">
      <c r="A10" s="56" t="str">
        <f t="shared" si="0"/>
        <v>BB-9-09</v>
      </c>
      <c r="B10" s="7">
        <f>+SCHEDULE!A11</f>
        <v>9</v>
      </c>
      <c r="C10" s="8">
        <f>+SCHEDULE!B11</f>
        <v>45823</v>
      </c>
      <c r="D10" s="9">
        <f>+SCHEDULE!C11</f>
        <v>45823</v>
      </c>
      <c r="E10" s="11">
        <f>+SCHEDULE!D11</f>
        <v>0.54166666666666663</v>
      </c>
      <c r="F10" s="11"/>
      <c r="G10" s="15" t="str">
        <f ca="1">+SCHEDULE!F11</f>
        <v>GVE 2</v>
      </c>
      <c r="H10" s="14">
        <f>+SCHEDULE!G11</f>
        <v>24</v>
      </c>
      <c r="I10" s="14" t="str">
        <f>+SCHEDULE!H11</f>
        <v>vs</v>
      </c>
      <c r="J10" s="15" t="str">
        <f ca="1">+SCHEDULE!I11</f>
        <v>Chester Valley 2</v>
      </c>
      <c r="K10" s="14">
        <f>+SCHEDULE!J11</f>
        <v>12</v>
      </c>
      <c r="L10" s="14" t="str">
        <f>+SCHEDULE!L11</f>
        <v>GV-King Road</v>
      </c>
      <c r="M10" s="14" t="str">
        <f>+SCHEDULE!M11</f>
        <v>Local Umpires</v>
      </c>
      <c r="N10" s="59" t="s">
        <v>159</v>
      </c>
      <c r="O10" s="60" t="s">
        <v>42</v>
      </c>
      <c r="P10" s="60" t="s">
        <v>160</v>
      </c>
      <c r="Q10" s="60"/>
      <c r="R10" s="60"/>
      <c r="S10" s="60" t="str">
        <f t="shared" ca="1" si="1"/>
        <v>GVE2-D27-BB9</v>
      </c>
      <c r="T10" s="60" t="str">
        <f t="shared" ca="1" si="2"/>
        <v>CV2-D27-BB9</v>
      </c>
    </row>
    <row r="11" spans="1:20" x14ac:dyDescent="0.45">
      <c r="A11" s="56" t="str">
        <f t="shared" si="0"/>
        <v>BB-9-10</v>
      </c>
      <c r="B11" s="7">
        <f>+SCHEDULE!A12</f>
        <v>10</v>
      </c>
      <c r="C11" s="8">
        <f>+SCHEDULE!B12</f>
        <v>45823</v>
      </c>
      <c r="D11" s="9">
        <f>+SCHEDULE!C12</f>
        <v>45823</v>
      </c>
      <c r="E11" s="11">
        <f>+SCHEDULE!D12</f>
        <v>0.625</v>
      </c>
      <c r="F11" s="11"/>
      <c r="G11" s="15" t="str">
        <f ca="1">+SCHEDULE!F12</f>
        <v>Lower Perk 2</v>
      </c>
      <c r="H11" s="14">
        <f>+SCHEDULE!G12</f>
        <v>1</v>
      </c>
      <c r="I11" s="14" t="str">
        <f>+SCHEDULE!H12</f>
        <v>vs</v>
      </c>
      <c r="J11" s="15" t="str">
        <f ca="1">+SCHEDULE!I12</f>
        <v>Radnor/Wayne 2</v>
      </c>
      <c r="K11" s="14">
        <f>+SCHEDULE!J12</f>
        <v>3</v>
      </c>
      <c r="L11" s="14" t="str">
        <f>+SCHEDULE!L12</f>
        <v>GV-King Road</v>
      </c>
      <c r="M11" s="14" t="str">
        <f>+SCHEDULE!M12</f>
        <v>Local Umpires</v>
      </c>
      <c r="N11" s="59" t="s">
        <v>159</v>
      </c>
      <c r="O11" s="60" t="s">
        <v>42</v>
      </c>
      <c r="P11" s="60" t="s">
        <v>160</v>
      </c>
      <c r="Q11" s="60"/>
      <c r="R11" s="60"/>
      <c r="S11" s="60" t="str">
        <f t="shared" ca="1" si="1"/>
        <v>LP2-D27-BB9</v>
      </c>
      <c r="T11" s="60" t="str">
        <f t="shared" ca="1" si="2"/>
        <v>RW2-D27-BB9</v>
      </c>
    </row>
    <row r="12" spans="1:20" x14ac:dyDescent="0.45">
      <c r="A12" s="56" t="str">
        <f t="shared" si="0"/>
        <v>BB-9-11</v>
      </c>
      <c r="B12" s="7">
        <f>+SCHEDULE!A13</f>
        <v>11</v>
      </c>
      <c r="C12" s="8">
        <f>+SCHEDULE!B13</f>
        <v>45823</v>
      </c>
      <c r="D12" s="9">
        <f>+SCHEDULE!C13</f>
        <v>45823</v>
      </c>
      <c r="E12" s="11">
        <f>+SCHEDULE!D13</f>
        <v>0.54166666666666663</v>
      </c>
      <c r="F12" s="11"/>
      <c r="G12" s="15" t="str">
        <f ca="1">+SCHEDULE!F13</f>
        <v>Devon/Strafford</v>
      </c>
      <c r="H12" s="14">
        <f>+SCHEDULE!G13</f>
        <v>5</v>
      </c>
      <c r="I12" s="14" t="str">
        <f>+SCHEDULE!H13</f>
        <v>vs</v>
      </c>
      <c r="J12" s="15" t="str">
        <f ca="1">+SCHEDULE!I13</f>
        <v>Pottsgrove-Pottstown</v>
      </c>
      <c r="K12" s="14">
        <f>+SCHEDULE!J13</f>
        <v>11</v>
      </c>
      <c r="L12" s="14" t="str">
        <f>+SCHEDULE!L13</f>
        <v>BP-Field of Dreams</v>
      </c>
      <c r="M12" s="14" t="str">
        <f>+SCHEDULE!M13</f>
        <v>Local Umpires</v>
      </c>
      <c r="N12" s="59" t="s">
        <v>159</v>
      </c>
      <c r="O12" s="60" t="s">
        <v>42</v>
      </c>
      <c r="P12" s="60" t="s">
        <v>160</v>
      </c>
      <c r="Q12" s="60"/>
      <c r="R12" s="60"/>
      <c r="S12" s="60" t="str">
        <f t="shared" ca="1" si="1"/>
        <v>DS-D27-BB9</v>
      </c>
      <c r="T12" s="60" t="str">
        <f t="shared" ca="1" si="2"/>
        <v>PGP-D27-BB9</v>
      </c>
    </row>
    <row r="13" spans="1:20" x14ac:dyDescent="0.45">
      <c r="A13" s="56" t="str">
        <f t="shared" si="0"/>
        <v>BB-9-12</v>
      </c>
      <c r="B13" s="7">
        <f>+SCHEDULE!A14</f>
        <v>12</v>
      </c>
      <c r="C13" s="8">
        <f>+SCHEDULE!B14</f>
        <v>45823</v>
      </c>
      <c r="D13" s="9">
        <f>+SCHEDULE!C14</f>
        <v>45823</v>
      </c>
      <c r="E13" s="11">
        <f>+SCHEDULE!D14</f>
        <v>0.625</v>
      </c>
      <c r="F13" s="11"/>
      <c r="G13" s="15" t="str">
        <f ca="1">+SCHEDULE!F14</f>
        <v>Berwyn-Paoli</v>
      </c>
      <c r="H13" s="14">
        <f>+SCHEDULE!G14</f>
        <v>9</v>
      </c>
      <c r="I13" s="14" t="str">
        <f>+SCHEDULE!H14</f>
        <v>vs</v>
      </c>
      <c r="J13" s="15" t="str">
        <f ca="1">+SCHEDULE!I14</f>
        <v>GVE 3</v>
      </c>
      <c r="K13" s="14">
        <f>+SCHEDULE!J14</f>
        <v>10</v>
      </c>
      <c r="L13" s="14" t="str">
        <f>+SCHEDULE!L14</f>
        <v>BP-Field of Dreams</v>
      </c>
      <c r="M13" s="14" t="str">
        <f>+SCHEDULE!M14</f>
        <v>Local Umpires</v>
      </c>
      <c r="N13" s="59" t="s">
        <v>159</v>
      </c>
      <c r="O13" s="60" t="s">
        <v>42</v>
      </c>
      <c r="P13" s="60" t="s">
        <v>160</v>
      </c>
      <c r="Q13" s="60"/>
      <c r="R13" s="60"/>
      <c r="S13" s="60" t="str">
        <f t="shared" ca="1" si="1"/>
        <v>BP-D27-BB9</v>
      </c>
      <c r="T13" s="60" t="str">
        <f t="shared" ca="1" si="2"/>
        <v>GVE3-D27-BB9</v>
      </c>
    </row>
    <row r="14" spans="1:20" x14ac:dyDescent="0.45">
      <c r="A14" s="56" t="str">
        <f t="shared" si="0"/>
        <v>BB-9-13</v>
      </c>
      <c r="B14" s="7">
        <f>+SCHEDULE!A16</f>
        <v>13</v>
      </c>
      <c r="C14" s="8">
        <f>+SCHEDULE!B16</f>
        <v>45823</v>
      </c>
      <c r="D14" s="9">
        <f>+SCHEDULE!C16</f>
        <v>45823</v>
      </c>
      <c r="E14" s="11">
        <f>+SCHEDULE!D16</f>
        <v>0.54166666666666663</v>
      </c>
      <c r="F14" s="11"/>
      <c r="G14" s="15" t="str">
        <f ca="1">+SCHEDULE!F16</f>
        <v>Radnor/Wayne 1</v>
      </c>
      <c r="H14" s="14">
        <f>+SCHEDULE!G16</f>
        <v>9</v>
      </c>
      <c r="I14" s="14" t="str">
        <f>+SCHEDULE!H16</f>
        <v>vs</v>
      </c>
      <c r="J14" s="15" t="str">
        <f ca="1">+SCHEDULE!I16</f>
        <v>Lower Perk 1</v>
      </c>
      <c r="K14" s="14">
        <f>+SCHEDULE!J16</f>
        <v>1</v>
      </c>
      <c r="L14" s="14" t="str">
        <f>+SCHEDULE!L16</f>
        <v>CV-Monument Park</v>
      </c>
      <c r="M14" s="14" t="str">
        <f>+SCHEDULE!M16</f>
        <v>Local Umpires</v>
      </c>
      <c r="N14" s="59" t="s">
        <v>159</v>
      </c>
      <c r="O14" s="60" t="s">
        <v>42</v>
      </c>
      <c r="P14" s="60" t="s">
        <v>160</v>
      </c>
      <c r="Q14" s="60"/>
      <c r="R14" s="60"/>
      <c r="S14" s="60" t="str">
        <f t="shared" ca="1" si="1"/>
        <v>RW1-D27-BB9</v>
      </c>
      <c r="T14" s="60" t="str">
        <f t="shared" ca="1" si="2"/>
        <v>LP1-D27-BB9</v>
      </c>
    </row>
    <row r="15" spans="1:20" x14ac:dyDescent="0.45">
      <c r="A15" s="56" t="str">
        <f t="shared" si="0"/>
        <v>BB-9-14</v>
      </c>
      <c r="B15" s="7">
        <f>+SCHEDULE!A17</f>
        <v>14</v>
      </c>
      <c r="C15" s="8">
        <f>+SCHEDULE!B17</f>
        <v>45823</v>
      </c>
      <c r="D15" s="9">
        <f>+SCHEDULE!C17</f>
        <v>45823</v>
      </c>
      <c r="E15" s="11">
        <f>+SCHEDULE!D17</f>
        <v>0.625</v>
      </c>
      <c r="F15" s="11"/>
      <c r="G15" s="15" t="str">
        <f ca="1">+SCHEDULE!F17</f>
        <v>GVE 1</v>
      </c>
      <c r="H15" s="14">
        <f>+SCHEDULE!G17</f>
        <v>7</v>
      </c>
      <c r="I15" s="14" t="str">
        <f>+SCHEDULE!H17</f>
        <v>vs</v>
      </c>
      <c r="J15" s="15" t="str">
        <f ca="1">+SCHEDULE!I17</f>
        <v>Chester Valley 1</v>
      </c>
      <c r="K15" s="14">
        <f>+SCHEDULE!J17</f>
        <v>6</v>
      </c>
      <c r="L15" s="14" t="str">
        <f>+SCHEDULE!L17</f>
        <v>CV-Monument Park</v>
      </c>
      <c r="M15" s="14" t="str">
        <f>+SCHEDULE!M17</f>
        <v>Local Umpires</v>
      </c>
      <c r="N15" s="59" t="s">
        <v>159</v>
      </c>
      <c r="O15" s="60" t="s">
        <v>42</v>
      </c>
      <c r="P15" s="60" t="s">
        <v>160</v>
      </c>
      <c r="Q15" s="60"/>
      <c r="R15" s="60"/>
      <c r="S15" s="60" t="str">
        <f t="shared" ca="1" si="1"/>
        <v>GVE1-D27-BB9</v>
      </c>
      <c r="T15" s="60" t="str">
        <f t="shared" ca="1" si="2"/>
        <v>CV1-D27-BB9</v>
      </c>
    </row>
    <row r="16" spans="1:20" x14ac:dyDescent="0.45">
      <c r="A16" s="56" t="str">
        <f t="shared" si="0"/>
        <v>BB-9-15</v>
      </c>
      <c r="B16" s="7">
        <f>+SCHEDULE!A18</f>
        <v>15</v>
      </c>
      <c r="C16" s="8">
        <f>+SCHEDULE!B18</f>
        <v>45823</v>
      </c>
      <c r="D16" s="9">
        <f>+SCHEDULE!C18</f>
        <v>45823</v>
      </c>
      <c r="E16" s="11">
        <f>+SCHEDULE!D18</f>
        <v>0.54166666666666663</v>
      </c>
      <c r="F16" s="11"/>
      <c r="G16" s="15" t="str">
        <f ca="1">+SCHEDULE!F18</f>
        <v>Coventry</v>
      </c>
      <c r="H16" s="14">
        <f>+SCHEDULE!G18</f>
        <v>3</v>
      </c>
      <c r="I16" s="14" t="str">
        <f>+SCHEDULE!H18</f>
        <v>vs</v>
      </c>
      <c r="J16" s="15" t="str">
        <f ca="1">+SCHEDULE!I18</f>
        <v>Lower Merion</v>
      </c>
      <c r="K16" s="14">
        <f>+SCHEDULE!J18</f>
        <v>9</v>
      </c>
      <c r="L16" s="14" t="str">
        <f>+SCHEDULE!L18</f>
        <v>UP-MacFarlan Park</v>
      </c>
      <c r="M16" s="14" t="str">
        <f>+SCHEDULE!M18</f>
        <v>Local Umpires</v>
      </c>
      <c r="N16" s="59" t="s">
        <v>159</v>
      </c>
      <c r="O16" s="60" t="s">
        <v>42</v>
      </c>
      <c r="P16" s="60" t="s">
        <v>160</v>
      </c>
      <c r="Q16" s="60"/>
      <c r="R16" s="60"/>
      <c r="S16" s="60" t="str">
        <f t="shared" ca="1" si="1"/>
        <v>COV-D27-BB9</v>
      </c>
      <c r="T16" s="60" t="str">
        <f t="shared" ca="1" si="2"/>
        <v>LM-D27-BB9</v>
      </c>
    </row>
    <row r="17" spans="1:20" x14ac:dyDescent="0.45">
      <c r="A17" s="56" t="str">
        <f t="shared" si="0"/>
        <v>BB-9-16</v>
      </c>
      <c r="B17" s="7">
        <f>+SCHEDULE!A19</f>
        <v>16</v>
      </c>
      <c r="C17" s="8">
        <f>+SCHEDULE!B19</f>
        <v>45823</v>
      </c>
      <c r="D17" s="9">
        <f>+SCHEDULE!C19</f>
        <v>45823</v>
      </c>
      <c r="E17" s="11">
        <f>+SCHEDULE!D19</f>
        <v>0.625</v>
      </c>
      <c r="F17" s="11"/>
      <c r="G17" s="15" t="str">
        <f ca="1">+SCHEDULE!F19</f>
        <v>Upper Providence 2</v>
      </c>
      <c r="H17" s="14">
        <f>+SCHEDULE!G19</f>
        <v>2</v>
      </c>
      <c r="I17" s="14" t="str">
        <f>+SCHEDULE!H19</f>
        <v>vs</v>
      </c>
      <c r="J17" s="15" t="str">
        <f ca="1">+SCHEDULE!I19</f>
        <v>Upper Providence 1</v>
      </c>
      <c r="K17" s="14">
        <f>+SCHEDULE!J19</f>
        <v>14</v>
      </c>
      <c r="L17" s="14" t="str">
        <f>+SCHEDULE!L19</f>
        <v>UP-MacFarlan Park</v>
      </c>
      <c r="M17" s="14" t="str">
        <f>+SCHEDULE!M19</f>
        <v>Local Umpires</v>
      </c>
      <c r="N17" s="59" t="s">
        <v>159</v>
      </c>
      <c r="O17" s="60" t="s">
        <v>42</v>
      </c>
      <c r="P17" s="60" t="s">
        <v>160</v>
      </c>
      <c r="Q17" s="60"/>
      <c r="R17" s="60"/>
      <c r="S17" s="60" t="str">
        <f t="shared" ca="1" si="1"/>
        <v>UP2-D27-BB9</v>
      </c>
      <c r="T17" s="60" t="str">
        <f t="shared" ca="1" si="2"/>
        <v>UP1-D27-BB9</v>
      </c>
    </row>
    <row r="18" spans="1:20" x14ac:dyDescent="0.45">
      <c r="A18" s="56" t="str">
        <f t="shared" si="0"/>
        <v>BB-9-17</v>
      </c>
      <c r="B18" s="7">
        <f>+SCHEDULE!A21</f>
        <v>17</v>
      </c>
      <c r="C18" s="8">
        <f>+SCHEDULE!B21</f>
        <v>45826</v>
      </c>
      <c r="D18" s="9">
        <f>+SCHEDULE!C21</f>
        <v>45826</v>
      </c>
      <c r="E18" s="11">
        <f>+SCHEDULE!D21</f>
        <v>0.75</v>
      </c>
      <c r="F18" s="11"/>
      <c r="G18" s="15" t="str">
        <f ca="1">+SCHEDULE!F21</f>
        <v>Upper Providence 2</v>
      </c>
      <c r="H18" s="14">
        <f>+SCHEDULE!G21</f>
        <v>12</v>
      </c>
      <c r="I18" s="14" t="str">
        <f>+SCHEDULE!H21</f>
        <v>vs</v>
      </c>
      <c r="J18" s="15" t="str">
        <f ca="1">+SCHEDULE!I21</f>
        <v>GVE 2</v>
      </c>
      <c r="K18" s="14">
        <f>+SCHEDULE!J21</f>
        <v>3</v>
      </c>
      <c r="L18" s="14" t="str">
        <f>+SCHEDULE!L21</f>
        <v>PGP-Novak Park</v>
      </c>
      <c r="M18" s="14" t="str">
        <f>+SCHEDULE!M21</f>
        <v>Local Umpires</v>
      </c>
      <c r="N18" s="59" t="s">
        <v>159</v>
      </c>
      <c r="O18" s="60" t="s">
        <v>42</v>
      </c>
      <c r="P18" s="60" t="s">
        <v>160</v>
      </c>
      <c r="Q18" s="60"/>
      <c r="R18" s="60"/>
      <c r="S18" s="60" t="str">
        <f t="shared" ca="1" si="1"/>
        <v>UP2-D27-BB9</v>
      </c>
      <c r="T18" s="60" t="str">
        <f t="shared" ca="1" si="2"/>
        <v>GVE2-D27-BB9</v>
      </c>
    </row>
    <row r="19" spans="1:20" x14ac:dyDescent="0.45">
      <c r="A19" s="56" t="str">
        <f t="shared" si="0"/>
        <v>BB-9-18</v>
      </c>
      <c r="B19" s="7">
        <f>+SCHEDULE!A22</f>
        <v>18</v>
      </c>
      <c r="C19" s="8">
        <f>+SCHEDULE!B22</f>
        <v>45826</v>
      </c>
      <c r="D19" s="9">
        <f>+SCHEDULE!C22</f>
        <v>45826</v>
      </c>
      <c r="E19" s="49">
        <f>+SCHEDULE!D22</f>
        <v>0.83333333333333337</v>
      </c>
      <c r="F19" s="11"/>
      <c r="G19" s="15" t="str">
        <f ca="1">+SCHEDULE!F22</f>
        <v>Radnor/Wayne 2</v>
      </c>
      <c r="H19" s="14">
        <f>+SCHEDULE!G22</f>
        <v>5</v>
      </c>
      <c r="I19" s="14" t="str">
        <f>+SCHEDULE!H22</f>
        <v>vs</v>
      </c>
      <c r="J19" s="15" t="str">
        <f ca="1">+SCHEDULE!I22</f>
        <v>Coventry</v>
      </c>
      <c r="K19" s="14">
        <f>+SCHEDULE!J22</f>
        <v>18</v>
      </c>
      <c r="L19" s="14" t="str">
        <f>+SCHEDULE!L22</f>
        <v>COV-Wampler Complex</v>
      </c>
      <c r="M19" s="14" t="str">
        <f>+SCHEDULE!M22</f>
        <v>Local Umpires</v>
      </c>
      <c r="N19" s="59" t="s">
        <v>159</v>
      </c>
      <c r="O19" s="60" t="s">
        <v>42</v>
      </c>
      <c r="P19" s="60" t="s">
        <v>160</v>
      </c>
      <c r="Q19" s="60"/>
      <c r="R19" s="60"/>
      <c r="S19" s="60" t="str">
        <f t="shared" ca="1" si="1"/>
        <v>RW2-D27-BB9</v>
      </c>
      <c r="T19" s="60" t="str">
        <f t="shared" ca="1" si="2"/>
        <v>COV-D27-BB9</v>
      </c>
    </row>
    <row r="20" spans="1:20" x14ac:dyDescent="0.45">
      <c r="A20" s="56" t="str">
        <f t="shared" si="0"/>
        <v>BB-9-19</v>
      </c>
      <c r="B20" s="7">
        <f>+SCHEDULE!A23</f>
        <v>19</v>
      </c>
      <c r="C20" s="8">
        <f>+SCHEDULE!B23</f>
        <v>45826</v>
      </c>
      <c r="D20" s="9">
        <f>+SCHEDULE!C23</f>
        <v>45826</v>
      </c>
      <c r="E20" s="11">
        <f>+SCHEDULE!D23</f>
        <v>0.83333333333333337</v>
      </c>
      <c r="F20" s="11"/>
      <c r="G20" s="15" t="str">
        <f ca="1">+SCHEDULE!F23</f>
        <v>Chester Valley 1</v>
      </c>
      <c r="H20" s="14">
        <f>+SCHEDULE!G23</f>
        <v>16</v>
      </c>
      <c r="I20" s="14" t="str">
        <f>+SCHEDULE!H23</f>
        <v>vs</v>
      </c>
      <c r="J20" s="15" t="str">
        <f ca="1">+SCHEDULE!I23</f>
        <v>Pottsgrove-Pottstown</v>
      </c>
      <c r="K20" s="14">
        <f>+SCHEDULE!J23</f>
        <v>2</v>
      </c>
      <c r="L20" s="14" t="str">
        <f>+SCHEDULE!L23</f>
        <v>PGP-Novak Park</v>
      </c>
      <c r="M20" s="14" t="str">
        <f>+SCHEDULE!M23</f>
        <v>Local Umpires</v>
      </c>
      <c r="N20" s="59" t="s">
        <v>159</v>
      </c>
      <c r="O20" s="60" t="s">
        <v>42</v>
      </c>
      <c r="P20" s="60" t="s">
        <v>160</v>
      </c>
      <c r="Q20" s="60"/>
      <c r="R20" s="60"/>
      <c r="S20" s="60" t="str">
        <f t="shared" ca="1" si="1"/>
        <v>CV1-D27-BB9</v>
      </c>
      <c r="T20" s="60" t="str">
        <f t="shared" ca="1" si="2"/>
        <v>PGP-D27-BB9</v>
      </c>
    </row>
    <row r="21" spans="1:20" x14ac:dyDescent="0.45">
      <c r="A21" s="56" t="str">
        <f t="shared" si="0"/>
        <v>BB-9-20</v>
      </c>
      <c r="B21" s="7">
        <f>+SCHEDULE!A24</f>
        <v>20</v>
      </c>
      <c r="C21" s="8">
        <f>+SCHEDULE!B24</f>
        <v>45826</v>
      </c>
      <c r="D21" s="9">
        <f>+SCHEDULE!C24</f>
        <v>45826</v>
      </c>
      <c r="E21" s="49">
        <f>+SCHEDULE!D24</f>
        <v>0.75</v>
      </c>
      <c r="F21" s="11"/>
      <c r="G21" s="15" t="str">
        <f ca="1">+SCHEDULE!F24</f>
        <v>GVE 3</v>
      </c>
      <c r="H21" s="14">
        <f>+SCHEDULE!G24</f>
        <v>5</v>
      </c>
      <c r="I21" s="14" t="str">
        <f>+SCHEDULE!H24</f>
        <v>vs</v>
      </c>
      <c r="J21" s="15" t="str">
        <f ca="1">+SCHEDULE!I24</f>
        <v>Lower Perk 1</v>
      </c>
      <c r="K21" s="14">
        <f>+SCHEDULE!J24</f>
        <v>15</v>
      </c>
      <c r="L21" s="14" t="str">
        <f>+SCHEDULE!L24</f>
        <v>COV-Wampler Complex</v>
      </c>
      <c r="M21" s="14" t="str">
        <f>+SCHEDULE!M24</f>
        <v>Local Umpires</v>
      </c>
      <c r="N21" s="59" t="s">
        <v>159</v>
      </c>
      <c r="O21" s="60" t="s">
        <v>42</v>
      </c>
      <c r="P21" s="60" t="s">
        <v>160</v>
      </c>
      <c r="Q21" s="60"/>
      <c r="R21" s="60"/>
      <c r="S21" s="60" t="str">
        <f t="shared" ca="1" si="1"/>
        <v>GVE3-D27-BB9</v>
      </c>
      <c r="T21" s="60" t="str">
        <f t="shared" ca="1" si="2"/>
        <v>LP1-D27-BB9</v>
      </c>
    </row>
    <row r="22" spans="1:20" x14ac:dyDescent="0.45">
      <c r="A22" s="56" t="str">
        <f t="shared" si="0"/>
        <v>BB-9-21</v>
      </c>
      <c r="B22" s="7">
        <f>+SCHEDULE!A26</f>
        <v>21</v>
      </c>
      <c r="C22" s="8">
        <f>+SCHEDULE!B26</f>
        <v>45829</v>
      </c>
      <c r="D22" s="9">
        <f>+SCHEDULE!C26</f>
        <v>45829</v>
      </c>
      <c r="E22" s="11">
        <f>+SCHEDULE!D26</f>
        <v>0.45833333333333331</v>
      </c>
      <c r="F22" s="11"/>
      <c r="G22" s="15" t="str">
        <f ca="1">+SCHEDULE!F26</f>
        <v>Radnor/Wayne 1</v>
      </c>
      <c r="H22" s="14">
        <f>+SCHEDULE!G26</f>
        <v>2</v>
      </c>
      <c r="I22" s="14" t="str">
        <f>+SCHEDULE!H26</f>
        <v>vs</v>
      </c>
      <c r="J22" s="15" t="str">
        <f ca="1">+SCHEDULE!I26</f>
        <v>GVE 1</v>
      </c>
      <c r="K22" s="14">
        <f>+SCHEDULE!J26</f>
        <v>6</v>
      </c>
      <c r="L22" s="14" t="str">
        <f>+SCHEDULE!L26</f>
        <v>EX-Ship Park</v>
      </c>
      <c r="M22" s="14" t="str">
        <f>+SCHEDULE!M26</f>
        <v>Local Umpires</v>
      </c>
      <c r="N22" s="59" t="s">
        <v>159</v>
      </c>
      <c r="O22" s="60" t="s">
        <v>42</v>
      </c>
      <c r="P22" s="60" t="s">
        <v>160</v>
      </c>
      <c r="Q22" s="60"/>
      <c r="R22" s="60"/>
      <c r="S22" s="60" t="str">
        <f t="shared" ca="1" si="1"/>
        <v>RW1-D27-BB9</v>
      </c>
      <c r="T22" s="60" t="str">
        <f t="shared" ca="1" si="2"/>
        <v>GVE1-D27-BB9</v>
      </c>
    </row>
    <row r="23" spans="1:20" x14ac:dyDescent="0.45">
      <c r="A23" s="56" t="str">
        <f t="shared" si="0"/>
        <v>BB-9-22</v>
      </c>
      <c r="B23" s="7">
        <f>+SCHEDULE!A27</f>
        <v>22</v>
      </c>
      <c r="C23" s="8">
        <f>+SCHEDULE!B27</f>
        <v>45829</v>
      </c>
      <c r="D23" s="9">
        <f>+SCHEDULE!C27</f>
        <v>45829</v>
      </c>
      <c r="E23" s="11">
        <f>+SCHEDULE!D27</f>
        <v>0.54166666666666663</v>
      </c>
      <c r="F23" s="11"/>
      <c r="G23" s="15" t="str">
        <f ca="1">+SCHEDULE!F27</f>
        <v>Lower Merion</v>
      </c>
      <c r="H23" s="14">
        <f>+SCHEDULE!G27</f>
        <v>5</v>
      </c>
      <c r="I23" s="14" t="str">
        <f>+SCHEDULE!H27</f>
        <v>vs</v>
      </c>
      <c r="J23" s="15" t="str">
        <f ca="1">+SCHEDULE!I27</f>
        <v>Upper Providence 1</v>
      </c>
      <c r="K23" s="14">
        <f>+SCHEDULE!J27</f>
        <v>11</v>
      </c>
      <c r="L23" s="14" t="str">
        <f>+SCHEDULE!L27</f>
        <v>UP-MacFarlan Park</v>
      </c>
      <c r="M23" s="14" t="str">
        <f>+SCHEDULE!M27</f>
        <v>Local Umpires</v>
      </c>
      <c r="N23" s="59" t="s">
        <v>159</v>
      </c>
      <c r="O23" s="60" t="s">
        <v>42</v>
      </c>
      <c r="P23" s="60" t="s">
        <v>160</v>
      </c>
      <c r="Q23" s="60"/>
      <c r="R23" s="60"/>
      <c r="S23" s="60" t="str">
        <f t="shared" ca="1" si="1"/>
        <v>LM-D27-BB9</v>
      </c>
      <c r="T23" s="60" t="str">
        <f t="shared" ca="1" si="2"/>
        <v>UP1-D27-BB9</v>
      </c>
    </row>
    <row r="24" spans="1:20" x14ac:dyDescent="0.45">
      <c r="A24" s="56" t="str">
        <f t="shared" si="0"/>
        <v>BB-9-23</v>
      </c>
      <c r="B24" s="7">
        <f>+SCHEDULE!A28</f>
        <v>23</v>
      </c>
      <c r="C24" s="8">
        <f>+SCHEDULE!B28</f>
        <v>45829</v>
      </c>
      <c r="D24" s="9">
        <f>+SCHEDULE!C28</f>
        <v>45829</v>
      </c>
      <c r="E24" s="11">
        <f>+SCHEDULE!D28</f>
        <v>0.45833333333333331</v>
      </c>
      <c r="F24" s="11"/>
      <c r="G24" s="15" t="str">
        <f ca="1">+SCHEDULE!F28</f>
        <v>Upper Providence 2</v>
      </c>
      <c r="H24" s="14">
        <f>+SCHEDULE!G28</f>
        <v>1</v>
      </c>
      <c r="I24" s="14" t="str">
        <f>+SCHEDULE!H28</f>
        <v>vs</v>
      </c>
      <c r="J24" s="15" t="str">
        <f ca="1">+SCHEDULE!I28</f>
        <v>Coventry</v>
      </c>
      <c r="K24" s="14">
        <f>+SCHEDULE!J28</f>
        <v>9</v>
      </c>
      <c r="L24" s="38" t="str">
        <f>+SCHEDULE!L28</f>
        <v>UP-MacFarlan Park</v>
      </c>
      <c r="M24" s="14" t="str">
        <f>+SCHEDULE!M28</f>
        <v>Local Umpires</v>
      </c>
      <c r="N24" s="59" t="s">
        <v>159</v>
      </c>
      <c r="O24" s="60" t="s">
        <v>42</v>
      </c>
      <c r="P24" s="60" t="s">
        <v>160</v>
      </c>
      <c r="Q24" s="60"/>
      <c r="R24" s="60"/>
      <c r="S24" s="60" t="str">
        <f t="shared" ca="1" si="1"/>
        <v>UP2-D27-BB9</v>
      </c>
      <c r="T24" s="60" t="str">
        <f t="shared" ca="1" si="2"/>
        <v>COV-D27-BB9</v>
      </c>
    </row>
    <row r="25" spans="1:20" x14ac:dyDescent="0.45">
      <c r="A25" s="56" t="str">
        <f t="shared" si="0"/>
        <v>BB-9-24</v>
      </c>
      <c r="B25" s="7">
        <f>+SCHEDULE!A29</f>
        <v>24</v>
      </c>
      <c r="C25" s="8">
        <f>+SCHEDULE!B29</f>
        <v>45829</v>
      </c>
      <c r="D25" s="9">
        <f>+SCHEDULE!C29</f>
        <v>45829</v>
      </c>
      <c r="E25" s="11">
        <f>+SCHEDULE!D29</f>
        <v>0.54166666666666663</v>
      </c>
      <c r="F25" s="11"/>
      <c r="G25" s="15" t="str">
        <f ca="1">+SCHEDULE!F29</f>
        <v>Chester Valley 1</v>
      </c>
      <c r="H25" s="14">
        <f>+SCHEDULE!G29</f>
        <v>2</v>
      </c>
      <c r="I25" s="14" t="str">
        <f>+SCHEDULE!H29</f>
        <v>vs</v>
      </c>
      <c r="J25" s="15" t="str">
        <f ca="1">+SCHEDULE!I29</f>
        <v>Lower Perk 1</v>
      </c>
      <c r="K25" s="14">
        <f>+SCHEDULE!J29</f>
        <v>3</v>
      </c>
      <c r="L25" s="38" t="str">
        <f>+SCHEDULE!L29</f>
        <v>EX-Ship Park</v>
      </c>
      <c r="M25" s="14" t="str">
        <f>+SCHEDULE!M29</f>
        <v>Local Umpires</v>
      </c>
      <c r="N25" s="59" t="s">
        <v>159</v>
      </c>
      <c r="O25" s="60" t="s">
        <v>42</v>
      </c>
      <c r="P25" s="60" t="s">
        <v>160</v>
      </c>
      <c r="Q25" s="60"/>
      <c r="R25" s="60"/>
      <c r="S25" s="60" t="str">
        <f t="shared" ca="1" si="1"/>
        <v>CV1-D27-BB9</v>
      </c>
      <c r="T25" s="60" t="str">
        <f t="shared" ca="1" si="2"/>
        <v>LP1-D27-BB9</v>
      </c>
    </row>
    <row r="26" spans="1:20" x14ac:dyDescent="0.45">
      <c r="A26" s="56" t="str">
        <f t="shared" si="0"/>
        <v>BB-9-25</v>
      </c>
      <c r="B26" s="7">
        <f>+SCHEDULE!A31</f>
        <v>25</v>
      </c>
      <c r="C26" s="8">
        <f>+SCHEDULE!B31</f>
        <v>45831</v>
      </c>
      <c r="D26" s="9">
        <f>+SCHEDULE!C31</f>
        <v>45831</v>
      </c>
      <c r="E26" s="11">
        <f>+SCHEDULE!D31</f>
        <v>0.75</v>
      </c>
      <c r="F26" s="11"/>
      <c r="G26" s="15" t="str">
        <f ca="1">+SCHEDULE!F31</f>
        <v>Lower Merion</v>
      </c>
      <c r="H26" s="14">
        <f>+SCHEDULE!G31</f>
        <v>12</v>
      </c>
      <c r="I26" s="14" t="str">
        <f>+SCHEDULE!H31</f>
        <v>vs</v>
      </c>
      <c r="J26" s="15" t="str">
        <f ca="1">+SCHEDULE!I31</f>
        <v>Lower Perk 1</v>
      </c>
      <c r="K26" s="14">
        <f>+SCHEDULE!J31</f>
        <v>1</v>
      </c>
      <c r="L26" s="14" t="str">
        <f>+SCHEDULE!L31</f>
        <v>R/W-Encke Park</v>
      </c>
      <c r="M26" s="14" t="str">
        <f>+SCHEDULE!M31</f>
        <v>Local Umpires</v>
      </c>
      <c r="N26" s="59" t="s">
        <v>159</v>
      </c>
      <c r="O26" s="60" t="s">
        <v>42</v>
      </c>
      <c r="P26" s="60" t="s">
        <v>160</v>
      </c>
      <c r="Q26" s="60"/>
      <c r="R26" s="60"/>
      <c r="S26" s="60" t="str">
        <f t="shared" ca="1" si="1"/>
        <v>LM-D27-BB9</v>
      </c>
      <c r="T26" s="60" t="str">
        <f t="shared" ca="1" si="2"/>
        <v>LP1-D27-BB9</v>
      </c>
    </row>
    <row r="27" spans="1:20" x14ac:dyDescent="0.45">
      <c r="A27" s="56" t="str">
        <f t="shared" si="0"/>
        <v>BB-9-26</v>
      </c>
      <c r="B27" s="7">
        <f>+SCHEDULE!A32</f>
        <v>26</v>
      </c>
      <c r="C27" s="8">
        <f>+SCHEDULE!B32</f>
        <v>45831</v>
      </c>
      <c r="D27" s="9">
        <f>+SCHEDULE!C32</f>
        <v>45831</v>
      </c>
      <c r="E27" s="49">
        <f>+SCHEDULE!D32</f>
        <v>0.83333333333333337</v>
      </c>
      <c r="F27" s="11"/>
      <c r="G27" s="15" t="str">
        <f ca="1">+SCHEDULE!F32</f>
        <v>Radnor/Wayne 1</v>
      </c>
      <c r="H27" s="14">
        <f>+SCHEDULE!G32</f>
        <v>6</v>
      </c>
      <c r="I27" s="14" t="str">
        <f>+SCHEDULE!H32</f>
        <v>vs</v>
      </c>
      <c r="J27" s="15" t="str">
        <f ca="1">+SCHEDULE!I32</f>
        <v>Coventry</v>
      </c>
      <c r="K27" s="14">
        <f>+SCHEDULE!J32</f>
        <v>16</v>
      </c>
      <c r="L27" s="14" t="str">
        <f>+SCHEDULE!L32</f>
        <v>R/W-Encke Park</v>
      </c>
      <c r="M27" s="14" t="str">
        <f>+SCHEDULE!M32</f>
        <v>Local Umpires</v>
      </c>
      <c r="N27" s="59" t="s">
        <v>159</v>
      </c>
      <c r="O27" s="60" t="s">
        <v>42</v>
      </c>
      <c r="P27" s="60" t="s">
        <v>160</v>
      </c>
      <c r="Q27" s="60"/>
      <c r="R27" s="60"/>
      <c r="S27" s="60" t="str">
        <f t="shared" ca="1" si="1"/>
        <v>RW1-D27-BB9</v>
      </c>
      <c r="T27" s="60" t="str">
        <f t="shared" ca="1" si="2"/>
        <v>COV-D27-BB9</v>
      </c>
    </row>
    <row r="28" spans="1:20" x14ac:dyDescent="0.45">
      <c r="A28" s="56" t="str">
        <f t="shared" si="0"/>
        <v>BB-9-27</v>
      </c>
      <c r="B28" s="7">
        <f>+SCHEDULE!A34</f>
        <v>27</v>
      </c>
      <c r="C28" s="47">
        <f>+SCHEDULE!B34</f>
        <v>45832</v>
      </c>
      <c r="D28" s="48">
        <f>+SCHEDULE!C34</f>
        <v>45832</v>
      </c>
      <c r="E28" s="11">
        <f>+SCHEDULE!D34</f>
        <v>0.75</v>
      </c>
      <c r="F28" s="11"/>
      <c r="G28" s="15" t="str">
        <f ca="1">+SCHEDULE!F34</f>
        <v>GVE 1</v>
      </c>
      <c r="H28" s="14">
        <f>+SCHEDULE!G34</f>
        <v>2</v>
      </c>
      <c r="I28" s="14" t="str">
        <f>+SCHEDULE!H34</f>
        <v>vs</v>
      </c>
      <c r="J28" s="15" t="str">
        <f ca="1">+SCHEDULE!I34</f>
        <v>Upper Providence 1</v>
      </c>
      <c r="K28" s="14">
        <f>+SCHEDULE!J34</f>
        <v>12</v>
      </c>
      <c r="L28" s="14" t="str">
        <f>+SCHEDULE!L34</f>
        <v>BP-Field of Dreams</v>
      </c>
      <c r="M28" s="14" t="str">
        <f>+SCHEDULE!M34</f>
        <v>Local Umpires</v>
      </c>
      <c r="N28" s="59" t="s">
        <v>159</v>
      </c>
      <c r="O28" s="60" t="s">
        <v>42</v>
      </c>
      <c r="P28" s="60" t="s">
        <v>160</v>
      </c>
      <c r="Q28" s="60"/>
      <c r="R28" s="60"/>
      <c r="S28" s="60" t="str">
        <f t="shared" ca="1" si="1"/>
        <v>GVE1-D27-BB9</v>
      </c>
      <c r="T28" s="60" t="str">
        <f t="shared" ca="1" si="2"/>
        <v>UP1-D27-BB9</v>
      </c>
    </row>
    <row r="29" spans="1:20" x14ac:dyDescent="0.45">
      <c r="A29" s="56" t="str">
        <f t="shared" si="0"/>
        <v>BB-9-28</v>
      </c>
      <c r="B29" s="7">
        <f>+SCHEDULE!A36</f>
        <v>28</v>
      </c>
      <c r="C29" s="8">
        <f>+SCHEDULE!B36</f>
        <v>45833</v>
      </c>
      <c r="D29" s="9">
        <f>+SCHEDULE!C36</f>
        <v>45833</v>
      </c>
      <c r="E29" s="11">
        <f>+SCHEDULE!D36</f>
        <v>0.75</v>
      </c>
      <c r="F29" s="11"/>
      <c r="G29" s="15" t="str">
        <f ca="1">+SCHEDULE!F36</f>
        <v>Coventry</v>
      </c>
      <c r="H29" s="14">
        <f>+SCHEDULE!G36</f>
        <v>7</v>
      </c>
      <c r="I29" s="14" t="str">
        <f>+SCHEDULE!H36</f>
        <v>vs</v>
      </c>
      <c r="J29" s="15" t="str">
        <f ca="1">+SCHEDULE!I36</f>
        <v>Lower Merion</v>
      </c>
      <c r="K29" s="14">
        <f>+SCHEDULE!J36</f>
        <v>2</v>
      </c>
      <c r="L29" s="14" t="str">
        <f>+SCHEDULE!L36</f>
        <v>CV-Monument Park</v>
      </c>
      <c r="M29" s="14" t="str">
        <f>+SCHEDULE!M36</f>
        <v>Local Umpires</v>
      </c>
      <c r="N29" s="59" t="s">
        <v>159</v>
      </c>
      <c r="O29" s="60" t="s">
        <v>42</v>
      </c>
      <c r="P29" s="60" t="s">
        <v>160</v>
      </c>
      <c r="Q29" s="60"/>
      <c r="R29" s="60"/>
      <c r="S29" s="60" t="str">
        <f t="shared" ca="1" si="1"/>
        <v>COV-D27-BB9</v>
      </c>
      <c r="T29" s="60" t="str">
        <f t="shared" ca="1" si="2"/>
        <v>LM-D27-BB9</v>
      </c>
    </row>
    <row r="30" spans="1:20" x14ac:dyDescent="0.45">
      <c r="A30" s="56" t="str">
        <f t="shared" si="0"/>
        <v>BB-9-29</v>
      </c>
      <c r="B30" s="7">
        <f>+SCHEDULE!A38</f>
        <v>29</v>
      </c>
      <c r="C30" s="8">
        <f>+SCHEDULE!B38</f>
        <v>45835</v>
      </c>
      <c r="D30" s="9">
        <f>+SCHEDULE!C38</f>
        <v>45835</v>
      </c>
      <c r="E30" s="49">
        <f>+SCHEDULE!D38</f>
        <v>0.75</v>
      </c>
      <c r="F30" s="11"/>
      <c r="G30" s="15" t="str">
        <f ca="1">+SCHEDULE!F38</f>
        <v>GVE 1</v>
      </c>
      <c r="H30" s="14">
        <f>+SCHEDULE!G38</f>
        <v>4</v>
      </c>
      <c r="I30" s="14" t="str">
        <f>+SCHEDULE!H38</f>
        <v>vs</v>
      </c>
      <c r="J30" s="15" t="str">
        <f ca="1">+SCHEDULE!I38</f>
        <v>Coventry</v>
      </c>
      <c r="K30" s="14">
        <f>+SCHEDULE!J38</f>
        <v>11</v>
      </c>
      <c r="L30" s="14" t="str">
        <f>+SCHEDULE!L38</f>
        <v>GV-King Road</v>
      </c>
      <c r="M30" s="14" t="str">
        <f>+SCHEDULE!M38</f>
        <v>Local Umpires</v>
      </c>
      <c r="N30" s="59" t="s">
        <v>159</v>
      </c>
      <c r="O30" s="60" t="s">
        <v>42</v>
      </c>
      <c r="P30" s="60" t="s">
        <v>160</v>
      </c>
      <c r="Q30" s="60"/>
      <c r="R30" s="60"/>
      <c r="S30" s="60" t="str">
        <f t="shared" ca="1" si="1"/>
        <v>GVE1-D27-BB9</v>
      </c>
      <c r="T30" s="60" t="str">
        <f t="shared" ca="1" si="2"/>
        <v>COV-D27-BB9</v>
      </c>
    </row>
    <row r="31" spans="1:20" x14ac:dyDescent="0.45">
      <c r="A31" s="56" t="str">
        <f t="shared" si="0"/>
        <v>BB-9-30</v>
      </c>
      <c r="B31" s="7">
        <f>+SCHEDULE!A40</f>
        <v>30</v>
      </c>
      <c r="C31" s="8">
        <f>+SCHEDULE!B40</f>
        <v>45836</v>
      </c>
      <c r="D31" s="9">
        <f>+SCHEDULE!C40</f>
        <v>45836</v>
      </c>
      <c r="E31" s="11">
        <f>+SCHEDULE!D40</f>
        <v>0.5</v>
      </c>
      <c r="F31" s="11"/>
      <c r="G31" s="15" t="str">
        <f ca="1">+SCHEDULE!F40</f>
        <v>Upper Providence 1</v>
      </c>
      <c r="H31" s="14">
        <f>+SCHEDULE!G40</f>
        <v>4</v>
      </c>
      <c r="I31" s="14" t="str">
        <f>+SCHEDULE!H40</f>
        <v>vs</v>
      </c>
      <c r="J31" s="15" t="str">
        <f ca="1">+SCHEDULE!I40</f>
        <v>Coventry</v>
      </c>
      <c r="K31" s="14">
        <f>+SCHEDULE!J40</f>
        <v>1</v>
      </c>
      <c r="L31" s="14" t="str">
        <f>+SCHEDULE!L40</f>
        <v>GV-King Road</v>
      </c>
      <c r="M31" s="14" t="str">
        <f>+SCHEDULE!M40</f>
        <v>D27 Umpires (assigned by Gary Hall)</v>
      </c>
      <c r="N31" s="59" t="s">
        <v>159</v>
      </c>
      <c r="O31" s="60" t="s">
        <v>42</v>
      </c>
      <c r="P31" s="60" t="s">
        <v>160</v>
      </c>
      <c r="Q31" s="60"/>
      <c r="R31" s="60"/>
      <c r="S31" s="60" t="str">
        <f t="shared" ca="1" si="1"/>
        <v>UP1-D27-BB9</v>
      </c>
      <c r="T31" s="60" t="str">
        <f t="shared" ca="1" si="2"/>
        <v>COV-D27-BB9</v>
      </c>
    </row>
    <row r="32" spans="1:20" x14ac:dyDescent="0.45">
      <c r="A32" s="56" t="str">
        <f t="shared" si="0"/>
        <v>BB-9-31</v>
      </c>
      <c r="B32" s="7">
        <f>+SCHEDULE!A42</f>
        <v>31</v>
      </c>
      <c r="C32" s="22">
        <f>+SCHEDULE!B42</f>
        <v>45837</v>
      </c>
      <c r="D32" s="23">
        <f>+SCHEDULE!C42</f>
        <v>45837</v>
      </c>
      <c r="E32" s="24">
        <f>+SCHEDULE!D42</f>
        <v>0.54166666666666663</v>
      </c>
      <c r="F32" s="11"/>
      <c r="G32" s="15" t="str">
        <f ca="1">+SCHEDULE!F42</f>
        <v>Upper Providence 1</v>
      </c>
      <c r="H32" s="14">
        <f>+SCHEDULE!G42</f>
        <v>0</v>
      </c>
      <c r="I32" s="14" t="str">
        <f>+SCHEDULE!H42</f>
        <v>vs</v>
      </c>
      <c r="J32" s="15" t="str">
        <f ca="1">+SCHEDULE!I42</f>
        <v>Not Necessary</v>
      </c>
      <c r="K32" s="14">
        <f>+SCHEDULE!J42</f>
        <v>0</v>
      </c>
      <c r="L32" s="14" t="str">
        <f>+SCHEDULE!L42</f>
        <v>GV-King Road</v>
      </c>
      <c r="M32" s="45" t="str">
        <f>+SCHEDULE!M42</f>
        <v>D27 Umpires (assigned by Gary Hall)</v>
      </c>
      <c r="N32" s="59" t="s">
        <v>159</v>
      </c>
      <c r="O32" s="60" t="s">
        <v>42</v>
      </c>
      <c r="P32" s="60" t="s">
        <v>160</v>
      </c>
      <c r="Q32" s="60" t="s">
        <v>157</v>
      </c>
      <c r="R32" s="60"/>
      <c r="S32" s="60" t="str">
        <f t="shared" ca="1" si="1"/>
        <v>UP1-D27-BB9</v>
      </c>
      <c r="T32" s="60" t="e">
        <f t="shared" ca="1" si="2"/>
        <v>#N/A</v>
      </c>
    </row>
    <row r="36" spans="2:17" x14ac:dyDescent="0.45">
      <c r="B36" s="5" t="s">
        <v>9</v>
      </c>
      <c r="C36" s="5" t="s">
        <v>10</v>
      </c>
      <c r="D36" s="5" t="s">
        <v>110</v>
      </c>
      <c r="E36" s="5" t="s">
        <v>112</v>
      </c>
      <c r="F36" s="5" t="s">
        <v>124</v>
      </c>
      <c r="G36" s="5"/>
      <c r="H36" s="5" t="s">
        <v>46</v>
      </c>
      <c r="I36" s="5" t="s">
        <v>11</v>
      </c>
      <c r="J36" s="5" t="s">
        <v>33</v>
      </c>
      <c r="K36" s="5" t="s">
        <v>34</v>
      </c>
      <c r="L36" s="5" t="str">
        <f t="shared" ref="L36:L52" si="3">+C36</f>
        <v>Team</v>
      </c>
      <c r="M36" s="5" t="s">
        <v>45</v>
      </c>
      <c r="N36" s="5" t="str">
        <f t="shared" ref="N36:N52" si="4">+D36</f>
        <v>Manager</v>
      </c>
      <c r="O36" s="5" t="str">
        <f t="shared" ref="O36:O52" si="5">+E36</f>
        <v>Email Address</v>
      </c>
      <c r="P36" s="5" t="s">
        <v>124</v>
      </c>
      <c r="Q36" s="5" t="str">
        <f>+I36</f>
        <v>Park</v>
      </c>
    </row>
    <row r="37" spans="2:17" x14ac:dyDescent="0.45">
      <c r="B37" s="38">
        <v>1</v>
      </c>
      <c r="C37" s="41" t="s">
        <v>51</v>
      </c>
      <c r="D37" s="41" t="s">
        <v>122</v>
      </c>
      <c r="E37" s="44" t="s">
        <v>123</v>
      </c>
      <c r="F37" s="42" t="s">
        <v>125</v>
      </c>
      <c r="G37" s="42"/>
      <c r="H37" s="42" t="s">
        <v>63</v>
      </c>
      <c r="I37" s="41" t="s">
        <v>75</v>
      </c>
      <c r="J37" s="43">
        <v>9.11</v>
      </c>
      <c r="K37" s="38">
        <f t="shared" ref="K37:K52" si="6">RANK($J37,J$37:J$52,1)</f>
        <v>5</v>
      </c>
      <c r="L37" s="39" t="str">
        <f t="shared" si="3"/>
        <v>Coventry</v>
      </c>
      <c r="M37" s="39" t="str">
        <f t="shared" ref="M37:M52" si="7">_xlfn.CONCAT($H37,$C$58)</f>
        <v>COV-D27-BB9</v>
      </c>
      <c r="N37" s="38" t="str">
        <f t="shared" si="4"/>
        <v>Marc Brown</v>
      </c>
      <c r="O37" s="38" t="str">
        <f t="shared" si="5"/>
        <v>marc_brown@live.com</v>
      </c>
      <c r="P37" s="38" t="str">
        <f t="shared" ref="P37:P52" si="8">+F37</f>
        <v>717-413-1341</v>
      </c>
      <c r="Q37" s="39" t="str">
        <f t="shared" ref="Q37:Q52" si="9">IF(I37&lt;&gt;"",I37,"")</f>
        <v>COV-Wampler Complex</v>
      </c>
    </row>
    <row r="38" spans="2:17" x14ac:dyDescent="0.45">
      <c r="B38" s="38">
        <f t="shared" ref="B38:B52" si="10">+B37+1</f>
        <v>2</v>
      </c>
      <c r="C38" s="41" t="s">
        <v>52</v>
      </c>
      <c r="D38" s="41" t="s">
        <v>139</v>
      </c>
      <c r="E38" s="44" t="s">
        <v>165</v>
      </c>
      <c r="F38" s="42"/>
      <c r="G38" s="42"/>
      <c r="H38" s="42" t="s">
        <v>64</v>
      </c>
      <c r="I38" s="41" t="s">
        <v>163</v>
      </c>
      <c r="J38" s="43">
        <v>13.03</v>
      </c>
      <c r="K38" s="38">
        <f t="shared" si="6"/>
        <v>13</v>
      </c>
      <c r="L38" s="39" t="str">
        <f t="shared" si="3"/>
        <v>Devon/Strafford</v>
      </c>
      <c r="M38" s="39" t="str">
        <f t="shared" si="7"/>
        <v>DS-D27-BB9</v>
      </c>
      <c r="N38" s="38" t="str">
        <f t="shared" si="4"/>
        <v>Dale Kline</v>
      </c>
      <c r="O38" s="38" t="str">
        <f t="shared" si="5"/>
        <v>dale@qemg.com</v>
      </c>
      <c r="P38" s="38">
        <f t="shared" si="8"/>
        <v>0</v>
      </c>
      <c r="Q38" s="39" t="str">
        <f t="shared" si="9"/>
        <v>D/S-Clarke Field</v>
      </c>
    </row>
    <row r="39" spans="2:17" x14ac:dyDescent="0.45">
      <c r="B39" s="38">
        <f t="shared" si="10"/>
        <v>3</v>
      </c>
      <c r="C39" s="41" t="s">
        <v>53</v>
      </c>
      <c r="D39" s="41" t="s">
        <v>117</v>
      </c>
      <c r="E39" s="44" t="s">
        <v>118</v>
      </c>
      <c r="F39" s="42"/>
      <c r="G39" s="42"/>
      <c r="H39" s="42" t="s">
        <v>65</v>
      </c>
      <c r="I39" s="41" t="s">
        <v>76</v>
      </c>
      <c r="J39" s="43">
        <v>13.08</v>
      </c>
      <c r="K39" s="38">
        <f t="shared" si="6"/>
        <v>15</v>
      </c>
      <c r="L39" s="39" t="str">
        <f t="shared" si="3"/>
        <v>Berwyn-Paoli</v>
      </c>
      <c r="M39" s="39" t="str">
        <f t="shared" si="7"/>
        <v>BP-D27-BB9</v>
      </c>
      <c r="N39" s="38" t="str">
        <f t="shared" si="4"/>
        <v>Adam Strittmatter</v>
      </c>
      <c r="O39" s="38" t="str">
        <f t="shared" si="5"/>
        <v>adamstrittmatter@yahoo.com</v>
      </c>
      <c r="P39" s="38">
        <f t="shared" si="8"/>
        <v>0</v>
      </c>
      <c r="Q39" s="39" t="str">
        <f t="shared" si="9"/>
        <v>BP-Field of Dreams</v>
      </c>
    </row>
    <row r="40" spans="2:17" x14ac:dyDescent="0.45">
      <c r="B40" s="38">
        <f t="shared" si="10"/>
        <v>4</v>
      </c>
      <c r="C40" s="41" t="s">
        <v>54</v>
      </c>
      <c r="D40" s="41" t="s">
        <v>143</v>
      </c>
      <c r="E40" s="44" t="s">
        <v>144</v>
      </c>
      <c r="F40" s="42" t="s">
        <v>166</v>
      </c>
      <c r="G40" s="42"/>
      <c r="H40" s="42" t="s">
        <v>66</v>
      </c>
      <c r="I40" s="41" t="s">
        <v>54</v>
      </c>
      <c r="J40" s="43">
        <v>13.07</v>
      </c>
      <c r="K40" s="38">
        <f t="shared" si="6"/>
        <v>14</v>
      </c>
      <c r="L40" s="39" t="str">
        <f t="shared" si="3"/>
        <v>Lower Merion</v>
      </c>
      <c r="M40" s="39" t="str">
        <f t="shared" si="7"/>
        <v>LM-D27-BB9</v>
      </c>
      <c r="N40" s="38" t="str">
        <f t="shared" si="4"/>
        <v>Scott Shaw</v>
      </c>
      <c r="O40" s="38" t="str">
        <f t="shared" si="5"/>
        <v>sshaw0379@gmail.com</v>
      </c>
      <c r="P40" s="38" t="str">
        <f t="shared" si="8"/>
        <v>267-625-8863</v>
      </c>
      <c r="Q40" s="39" t="str">
        <f t="shared" si="9"/>
        <v>Lower Merion</v>
      </c>
    </row>
    <row r="41" spans="2:17" x14ac:dyDescent="0.45">
      <c r="B41" s="38">
        <f t="shared" si="10"/>
        <v>5</v>
      </c>
      <c r="C41" s="41" t="s">
        <v>40</v>
      </c>
      <c r="D41" s="41" t="s">
        <v>130</v>
      </c>
      <c r="E41" s="44" t="s">
        <v>131</v>
      </c>
      <c r="F41" s="42"/>
      <c r="G41" s="42"/>
      <c r="H41" s="42" t="s">
        <v>49</v>
      </c>
      <c r="I41" s="41" t="s">
        <v>77</v>
      </c>
      <c r="J41" s="43">
        <v>11.095000000000001</v>
      </c>
      <c r="K41" s="38">
        <f t="shared" si="6"/>
        <v>10</v>
      </c>
      <c r="L41" s="39" t="str">
        <f t="shared" si="3"/>
        <v>Lower Perk 1</v>
      </c>
      <c r="M41" s="39" t="str">
        <f t="shared" si="7"/>
        <v>LP1-D27-BB9</v>
      </c>
      <c r="N41" s="38" t="str">
        <f t="shared" si="4"/>
        <v>Stephen Viccica</v>
      </c>
      <c r="O41" s="38" t="str">
        <f t="shared" si="5"/>
        <v>sviccica@gmail.com</v>
      </c>
      <c r="P41" s="38">
        <f t="shared" si="8"/>
        <v>0</v>
      </c>
      <c r="Q41" s="39" t="str">
        <f t="shared" si="9"/>
        <v>LP-Palmer Park</v>
      </c>
    </row>
    <row r="42" spans="2:17" x14ac:dyDescent="0.45">
      <c r="B42" s="38">
        <f t="shared" si="10"/>
        <v>6</v>
      </c>
      <c r="C42" s="41" t="s">
        <v>41</v>
      </c>
      <c r="D42" s="41" t="s">
        <v>132</v>
      </c>
      <c r="E42" s="44" t="s">
        <v>164</v>
      </c>
      <c r="F42" s="42"/>
      <c r="G42" s="42"/>
      <c r="H42" s="42" t="s">
        <v>50</v>
      </c>
      <c r="I42" s="41"/>
      <c r="J42" s="43">
        <v>9.06</v>
      </c>
      <c r="K42" s="38">
        <f t="shared" si="6"/>
        <v>3</v>
      </c>
      <c r="L42" s="39" t="str">
        <f t="shared" si="3"/>
        <v>Lower Perk 2</v>
      </c>
      <c r="M42" s="39" t="str">
        <f t="shared" si="7"/>
        <v>LP2-D27-BB9</v>
      </c>
      <c r="N42" s="38" t="str">
        <f t="shared" si="4"/>
        <v>Chris Brower</v>
      </c>
      <c r="O42" s="38" t="str">
        <f t="shared" si="5"/>
        <v>cjbrower22@aol.com</v>
      </c>
      <c r="P42" s="38">
        <f t="shared" si="8"/>
        <v>0</v>
      </c>
      <c r="Q42" s="39" t="str">
        <f t="shared" si="9"/>
        <v/>
      </c>
    </row>
    <row r="43" spans="2:17" x14ac:dyDescent="0.45">
      <c r="B43" s="38">
        <f t="shared" si="10"/>
        <v>7</v>
      </c>
      <c r="C43" s="41" t="s">
        <v>55</v>
      </c>
      <c r="D43" s="41" t="s">
        <v>140</v>
      </c>
      <c r="E43" s="44" t="s">
        <v>141</v>
      </c>
      <c r="F43" s="42" t="s">
        <v>142</v>
      </c>
      <c r="G43" s="42"/>
      <c r="H43" s="42" t="s">
        <v>67</v>
      </c>
      <c r="I43" s="41" t="s">
        <v>78</v>
      </c>
      <c r="J43" s="43">
        <v>10.044</v>
      </c>
      <c r="K43" s="38">
        <f t="shared" si="6"/>
        <v>6</v>
      </c>
      <c r="L43" s="39" t="str">
        <f t="shared" si="3"/>
        <v>Pottsgrove-Pottstown</v>
      </c>
      <c r="M43" s="39" t="str">
        <f t="shared" si="7"/>
        <v>PGP-D27-BB9</v>
      </c>
      <c r="N43" s="38" t="str">
        <f t="shared" si="4"/>
        <v>Joe Houseal</v>
      </c>
      <c r="O43" s="38" t="str">
        <f t="shared" si="5"/>
        <v>Jhouseal1221@yahoo.com</v>
      </c>
      <c r="P43" s="38" t="str">
        <f t="shared" si="8"/>
        <v>484 925 3037</v>
      </c>
      <c r="Q43" s="39" t="str">
        <f t="shared" si="9"/>
        <v>PGP-Novak Park</v>
      </c>
    </row>
    <row r="44" spans="2:17" x14ac:dyDescent="0.45">
      <c r="B44" s="38">
        <f t="shared" si="10"/>
        <v>8</v>
      </c>
      <c r="C44" s="41" t="s">
        <v>56</v>
      </c>
      <c r="D44" s="41" t="s">
        <v>126</v>
      </c>
      <c r="E44" s="44" t="s">
        <v>127</v>
      </c>
      <c r="F44" s="42"/>
      <c r="G44" s="42"/>
      <c r="H44" s="42" t="s">
        <v>68</v>
      </c>
      <c r="I44" s="41" t="s">
        <v>167</v>
      </c>
      <c r="J44" s="43">
        <v>11.092000000000001</v>
      </c>
      <c r="K44" s="38">
        <f t="shared" si="6"/>
        <v>9</v>
      </c>
      <c r="L44" s="39" t="str">
        <f t="shared" si="3"/>
        <v>Radnor/Wayne 1</v>
      </c>
      <c r="M44" s="39" t="str">
        <f t="shared" si="7"/>
        <v>RW1-D27-BB9</v>
      </c>
      <c r="N44" s="38" t="str">
        <f t="shared" si="4"/>
        <v>Mike Frascella</v>
      </c>
      <c r="O44" s="38" t="str">
        <f t="shared" si="5"/>
        <v>stfrazz@gmail.com</v>
      </c>
      <c r="P44" s="38">
        <f t="shared" si="8"/>
        <v>0</v>
      </c>
      <c r="Q44" s="39" t="str">
        <f t="shared" si="9"/>
        <v>R/W-Encke Park</v>
      </c>
    </row>
    <row r="45" spans="2:17" x14ac:dyDescent="0.45">
      <c r="B45" s="38">
        <f t="shared" si="10"/>
        <v>9</v>
      </c>
      <c r="C45" s="41" t="s">
        <v>57</v>
      </c>
      <c r="D45" s="41" t="s">
        <v>128</v>
      </c>
      <c r="E45" s="44" t="s">
        <v>129</v>
      </c>
      <c r="F45" s="42"/>
      <c r="G45" s="42"/>
      <c r="H45" s="42" t="s">
        <v>69</v>
      </c>
      <c r="I45" s="41"/>
      <c r="J45" s="43">
        <v>9.1</v>
      </c>
      <c r="K45" s="38">
        <f t="shared" si="6"/>
        <v>4</v>
      </c>
      <c r="L45" s="39" t="str">
        <f t="shared" si="3"/>
        <v>Radnor/Wayne 2</v>
      </c>
      <c r="M45" s="39" t="str">
        <f t="shared" si="7"/>
        <v>RW2-D27-BB9</v>
      </c>
      <c r="N45" s="38" t="str">
        <f t="shared" si="4"/>
        <v>Nate Parkyn</v>
      </c>
      <c r="O45" s="38" t="str">
        <f t="shared" si="5"/>
        <v>natep.rwll@gmail.com</v>
      </c>
      <c r="P45" s="38">
        <f t="shared" si="8"/>
        <v>0</v>
      </c>
      <c r="Q45" s="39" t="str">
        <f t="shared" si="9"/>
        <v/>
      </c>
    </row>
    <row r="46" spans="2:17" x14ac:dyDescent="0.45">
      <c r="B46" s="38">
        <f t="shared" si="10"/>
        <v>10</v>
      </c>
      <c r="C46" s="41" t="s">
        <v>58</v>
      </c>
      <c r="D46" s="41" t="s">
        <v>113</v>
      </c>
      <c r="E46" s="44" t="s">
        <v>114</v>
      </c>
      <c r="F46" s="42"/>
      <c r="G46" s="42"/>
      <c r="H46" s="42" t="s">
        <v>70</v>
      </c>
      <c r="I46" s="41" t="s">
        <v>109</v>
      </c>
      <c r="J46" s="43">
        <v>13.1</v>
      </c>
      <c r="K46" s="38">
        <f t="shared" si="6"/>
        <v>16</v>
      </c>
      <c r="L46" s="39" t="str">
        <f t="shared" si="3"/>
        <v>Upper Providence 1</v>
      </c>
      <c r="M46" s="39" t="str">
        <f t="shared" si="7"/>
        <v>UP1-D27-BB9</v>
      </c>
      <c r="N46" s="38" t="str">
        <f t="shared" si="4"/>
        <v>Jacob Barnes</v>
      </c>
      <c r="O46" s="38" t="str">
        <f t="shared" si="5"/>
        <v>Jakebarnes11@hotmail.com</v>
      </c>
      <c r="P46" s="38">
        <f t="shared" si="8"/>
        <v>0</v>
      </c>
      <c r="Q46" s="39" t="str">
        <f t="shared" si="9"/>
        <v>UP-MacFarlan Park</v>
      </c>
    </row>
    <row r="47" spans="2:17" x14ac:dyDescent="0.45">
      <c r="B47" s="38">
        <f t="shared" si="10"/>
        <v>11</v>
      </c>
      <c r="C47" s="41" t="s">
        <v>59</v>
      </c>
      <c r="D47" s="41" t="s">
        <v>115</v>
      </c>
      <c r="E47" s="44" t="s">
        <v>116</v>
      </c>
      <c r="F47" s="42"/>
      <c r="G47" s="42"/>
      <c r="H47" s="42" t="s">
        <v>71</v>
      </c>
      <c r="I47" s="41"/>
      <c r="J47" s="43">
        <v>10.045999999999999</v>
      </c>
      <c r="K47" s="38">
        <f t="shared" si="6"/>
        <v>7</v>
      </c>
      <c r="L47" s="39" t="str">
        <f t="shared" si="3"/>
        <v>Upper Providence 2</v>
      </c>
      <c r="M47" s="39" t="str">
        <f t="shared" si="7"/>
        <v>UP2-D27-BB9</v>
      </c>
      <c r="N47" s="38" t="str">
        <f t="shared" si="4"/>
        <v>Jim Andrezejewski</v>
      </c>
      <c r="O47" s="38" t="str">
        <f t="shared" si="5"/>
        <v>james.andrzejewski@gmail.com</v>
      </c>
      <c r="P47" s="38">
        <f t="shared" si="8"/>
        <v>0</v>
      </c>
      <c r="Q47" s="39" t="str">
        <f t="shared" si="9"/>
        <v/>
      </c>
    </row>
    <row r="48" spans="2:17" x14ac:dyDescent="0.45">
      <c r="B48" s="38">
        <f t="shared" si="10"/>
        <v>12</v>
      </c>
      <c r="C48" s="41" t="s">
        <v>35</v>
      </c>
      <c r="D48" s="41" t="s">
        <v>146</v>
      </c>
      <c r="E48" s="44" t="s">
        <v>148</v>
      </c>
      <c r="F48" s="42"/>
      <c r="G48" s="42"/>
      <c r="H48" s="42" t="s">
        <v>47</v>
      </c>
      <c r="I48" s="41" t="s">
        <v>16</v>
      </c>
      <c r="J48" s="43">
        <v>12.08</v>
      </c>
      <c r="K48" s="38">
        <f t="shared" si="6"/>
        <v>12</v>
      </c>
      <c r="L48" s="39" t="str">
        <f t="shared" si="3"/>
        <v>Chester Valley 1</v>
      </c>
      <c r="M48" s="39" t="str">
        <f t="shared" si="7"/>
        <v>CV1-D27-BB9</v>
      </c>
      <c r="N48" s="38" t="str">
        <f t="shared" si="4"/>
        <v>Mike Miley</v>
      </c>
      <c r="O48" s="38" t="str">
        <f t="shared" si="5"/>
        <v>mikemiley13@gmail.com</v>
      </c>
      <c r="P48" s="38">
        <f t="shared" si="8"/>
        <v>0</v>
      </c>
      <c r="Q48" s="39" t="str">
        <f t="shared" si="9"/>
        <v>CV-Monument Park</v>
      </c>
    </row>
    <row r="49" spans="2:17" x14ac:dyDescent="0.45">
      <c r="B49" s="38">
        <f t="shared" si="10"/>
        <v>13</v>
      </c>
      <c r="C49" s="41" t="s">
        <v>36</v>
      </c>
      <c r="D49" s="41" t="s">
        <v>147</v>
      </c>
      <c r="E49" s="44" t="s">
        <v>149</v>
      </c>
      <c r="F49" s="42"/>
      <c r="G49" s="42"/>
      <c r="H49" s="42" t="s">
        <v>48</v>
      </c>
      <c r="I49" s="41"/>
      <c r="J49" s="43">
        <v>9.0500000000000007</v>
      </c>
      <c r="K49" s="38">
        <f t="shared" si="6"/>
        <v>2</v>
      </c>
      <c r="L49" s="39" t="str">
        <f t="shared" si="3"/>
        <v>Chester Valley 2</v>
      </c>
      <c r="M49" s="39" t="str">
        <f t="shared" si="7"/>
        <v>CV2-D27-BB9</v>
      </c>
      <c r="N49" s="38" t="str">
        <f t="shared" si="4"/>
        <v>Christian Arena</v>
      </c>
      <c r="O49" s="38" t="str">
        <f t="shared" si="5"/>
        <v xml:space="preserve">arena10911@gmail.com </v>
      </c>
      <c r="P49" s="38">
        <f t="shared" si="8"/>
        <v>0</v>
      </c>
      <c r="Q49" s="39" t="str">
        <f t="shared" si="9"/>
        <v/>
      </c>
    </row>
    <row r="50" spans="2:17" x14ac:dyDescent="0.45">
      <c r="B50" s="38">
        <f t="shared" si="10"/>
        <v>14</v>
      </c>
      <c r="C50" s="41" t="s">
        <v>60</v>
      </c>
      <c r="D50" s="41" t="s">
        <v>133</v>
      </c>
      <c r="E50" s="44" t="s">
        <v>136</v>
      </c>
      <c r="F50" s="42"/>
      <c r="G50" s="42"/>
      <c r="H50" s="42" t="s">
        <v>72</v>
      </c>
      <c r="I50" s="41" t="s">
        <v>15</v>
      </c>
      <c r="J50" s="43">
        <v>12.04</v>
      </c>
      <c r="K50" s="38">
        <f t="shared" si="6"/>
        <v>11</v>
      </c>
      <c r="L50" s="39" t="str">
        <f t="shared" si="3"/>
        <v>GVE 1</v>
      </c>
      <c r="M50" s="39" t="str">
        <f t="shared" si="7"/>
        <v>GVE1-D27-BB9</v>
      </c>
      <c r="N50" s="38" t="str">
        <f t="shared" si="4"/>
        <v>Matt Heintz</v>
      </c>
      <c r="O50" s="38" t="str">
        <f t="shared" si="5"/>
        <v>heintz14@gmail.com</v>
      </c>
      <c r="P50" s="38">
        <f t="shared" si="8"/>
        <v>0</v>
      </c>
      <c r="Q50" s="39" t="str">
        <f t="shared" si="9"/>
        <v>GV-King Road</v>
      </c>
    </row>
    <row r="51" spans="2:17" x14ac:dyDescent="0.45">
      <c r="B51" s="38">
        <f t="shared" si="10"/>
        <v>15</v>
      </c>
      <c r="C51" s="41" t="s">
        <v>61</v>
      </c>
      <c r="D51" s="41" t="s">
        <v>134</v>
      </c>
      <c r="E51" s="44" t="s">
        <v>137</v>
      </c>
      <c r="F51" s="42"/>
      <c r="G51" s="42"/>
      <c r="H51" s="42" t="s">
        <v>73</v>
      </c>
      <c r="I51" s="41" t="s">
        <v>145</v>
      </c>
      <c r="J51" s="43">
        <v>8.06</v>
      </c>
      <c r="K51" s="38">
        <f t="shared" si="6"/>
        <v>1</v>
      </c>
      <c r="L51" s="39" t="str">
        <f t="shared" si="3"/>
        <v>GVE 2</v>
      </c>
      <c r="M51" s="39" t="str">
        <f t="shared" si="7"/>
        <v>GVE2-D27-BB9</v>
      </c>
      <c r="N51" s="38" t="str">
        <f t="shared" si="4"/>
        <v>Michael Morabito</v>
      </c>
      <c r="O51" s="38" t="str">
        <f t="shared" si="5"/>
        <v>michaelmorabito@gmail.com</v>
      </c>
      <c r="P51" s="38">
        <f t="shared" si="8"/>
        <v>0</v>
      </c>
      <c r="Q51" s="39" t="str">
        <f t="shared" si="9"/>
        <v>EX-Ship Park</v>
      </c>
    </row>
    <row r="52" spans="2:17" x14ac:dyDescent="0.45">
      <c r="B52" s="38">
        <f t="shared" si="10"/>
        <v>16</v>
      </c>
      <c r="C52" s="41" t="s">
        <v>62</v>
      </c>
      <c r="D52" s="41" t="s">
        <v>135</v>
      </c>
      <c r="E52" s="44" t="s">
        <v>138</v>
      </c>
      <c r="F52" s="42"/>
      <c r="G52" s="42"/>
      <c r="H52" s="42" t="s">
        <v>74</v>
      </c>
      <c r="I52" s="41"/>
      <c r="J52" s="43">
        <v>10.07</v>
      </c>
      <c r="K52" s="38">
        <f t="shared" si="6"/>
        <v>8</v>
      </c>
      <c r="L52" s="39" t="str">
        <f t="shared" si="3"/>
        <v>GVE 3</v>
      </c>
      <c r="M52" s="39" t="str">
        <f t="shared" si="7"/>
        <v>GVE3-D27-BB9</v>
      </c>
      <c r="N52" s="38" t="str">
        <f t="shared" si="4"/>
        <v>Mike Reinking</v>
      </c>
      <c r="O52" s="38" t="str">
        <f t="shared" si="5"/>
        <v>mike@mediaoneproducts.com</v>
      </c>
      <c r="P52" s="38">
        <f t="shared" si="8"/>
        <v>0</v>
      </c>
      <c r="Q52" s="39" t="str">
        <f t="shared" si="9"/>
        <v/>
      </c>
    </row>
    <row r="53" spans="2:17" x14ac:dyDescent="0.45">
      <c r="B53" s="14"/>
      <c r="C53" s="17"/>
      <c r="D53" s="17"/>
      <c r="E53" s="17"/>
      <c r="F53" s="14"/>
      <c r="G53" s="14"/>
      <c r="H53" s="14"/>
      <c r="I53" s="17"/>
      <c r="J53" s="28"/>
      <c r="K53" s="14"/>
      <c r="L53" s="20"/>
      <c r="M53" s="20"/>
      <c r="N53" s="7"/>
      <c r="O53" s="7"/>
      <c r="P53" s="7"/>
      <c r="Q53" s="20"/>
    </row>
    <row r="54" spans="2:17" x14ac:dyDescent="0.45">
      <c r="B54" s="14"/>
      <c r="C54" s="17"/>
      <c r="D54" s="17"/>
      <c r="E54" s="17"/>
      <c r="F54" s="14"/>
      <c r="G54" s="14"/>
      <c r="H54" s="14"/>
      <c r="I54" s="17"/>
      <c r="J54" s="28"/>
      <c r="K54" s="14"/>
      <c r="L54" s="20"/>
      <c r="M54" s="20"/>
      <c r="N54" s="7"/>
      <c r="O54" s="7"/>
      <c r="P54" s="7"/>
      <c r="Q54" s="20"/>
    </row>
    <row r="55" spans="2:17" x14ac:dyDescent="0.45">
      <c r="B55" s="14"/>
      <c r="C55" s="17"/>
      <c r="D55" s="17"/>
      <c r="E55" s="17"/>
      <c r="F55" s="14"/>
      <c r="G55" s="14"/>
      <c r="H55" s="14"/>
      <c r="I55" s="17"/>
      <c r="J55" s="28"/>
      <c r="K55" s="14"/>
      <c r="L55" s="20"/>
      <c r="M55" s="20"/>
      <c r="N55" s="7"/>
      <c r="O55" s="7"/>
      <c r="P55" s="7"/>
      <c r="Q55" s="20"/>
    </row>
    <row r="56" spans="2:17" x14ac:dyDescent="0.45">
      <c r="B56" s="14"/>
      <c r="C56" s="17"/>
      <c r="D56" s="17"/>
      <c r="E56" s="17"/>
      <c r="F56" s="14"/>
      <c r="G56" s="14"/>
      <c r="H56" s="14"/>
      <c r="I56" s="17"/>
      <c r="J56" s="28"/>
      <c r="K56" s="21"/>
      <c r="L56" s="20"/>
      <c r="M56" s="20"/>
      <c r="N56" s="7"/>
      <c r="O56" s="7"/>
      <c r="P56" s="7"/>
      <c r="Q56" s="20"/>
    </row>
    <row r="57" spans="2:17" x14ac:dyDescent="0.45">
      <c r="D57" s="26"/>
      <c r="F57" s="26"/>
      <c r="H57" s="26"/>
      <c r="I57" s="26"/>
      <c r="J57" s="26"/>
      <c r="L57" s="26"/>
      <c r="M57" s="26"/>
      <c r="N57" s="26"/>
      <c r="O57" s="26"/>
    </row>
    <row r="58" spans="2:17" x14ac:dyDescent="0.45">
      <c r="C58" s="29" t="s">
        <v>79</v>
      </c>
      <c r="D58" s="61" t="s">
        <v>151</v>
      </c>
      <c r="E58" s="40"/>
      <c r="F58" s="40"/>
      <c r="H58" s="26"/>
      <c r="I58" s="26"/>
      <c r="J58" s="26"/>
      <c r="L58" s="26"/>
      <c r="M58" s="26"/>
      <c r="N58" s="26"/>
      <c r="O58" s="26"/>
    </row>
    <row r="59" spans="2:17" x14ac:dyDescent="0.45">
      <c r="C59" s="62" t="s">
        <v>153</v>
      </c>
      <c r="D59" s="61" t="s">
        <v>152</v>
      </c>
      <c r="E59" s="4"/>
      <c r="F59" s="26"/>
      <c r="G59" s="4"/>
      <c r="J59" s="26"/>
      <c r="K59" s="4"/>
      <c r="L59"/>
    </row>
    <row r="62" spans="2:17" x14ac:dyDescent="0.45">
      <c r="B62" s="5" t="str">
        <f>+B36</f>
        <v>#</v>
      </c>
      <c r="C62" s="5" t="str">
        <f>+L36</f>
        <v>Team</v>
      </c>
      <c r="D62" s="5" t="str">
        <f>+N36</f>
        <v>Manager</v>
      </c>
      <c r="E62" s="5" t="str">
        <f>+O36</f>
        <v>Email Address</v>
      </c>
      <c r="F62" s="5" t="str">
        <f>+P36</f>
        <v>Cell Phone</v>
      </c>
      <c r="G62" s="5" t="str">
        <f>+M36</f>
        <v>GC Name</v>
      </c>
      <c r="H62" s="5" t="str">
        <f>+Q36</f>
        <v>Park</v>
      </c>
    </row>
    <row r="63" spans="2:17" x14ac:dyDescent="0.45">
      <c r="B63" s="38">
        <v>1</v>
      </c>
      <c r="C63" s="39" t="str">
        <f>VLOOKUP($B63,$K$37:$Q$52,2,FALSE)</f>
        <v>GVE 2</v>
      </c>
      <c r="D63" s="39" t="str">
        <f>VLOOKUP($B63,$K$37:$Q$52,4,FALSE)</f>
        <v>Michael Morabito</v>
      </c>
      <c r="E63" s="39" t="str">
        <f>VLOOKUP($B63,$K$37:$Q$52,5,FALSE)</f>
        <v>michaelmorabito@gmail.com</v>
      </c>
      <c r="F63" s="38">
        <f>VLOOKUP($B63,$K$37:$Q$52,6,FALSE)</f>
        <v>0</v>
      </c>
      <c r="G63" s="13" t="str">
        <f>VLOOKUP($B63,$K$37:$Q$52,3,FALSE)</f>
        <v>GVE2-D27-BB9</v>
      </c>
      <c r="H63" s="39" t="str">
        <f>VLOOKUP($B63,$K$37:$Q$52,7,FALSE)</f>
        <v>EX-Ship Park</v>
      </c>
    </row>
    <row r="64" spans="2:17" x14ac:dyDescent="0.45">
      <c r="B64" s="38">
        <v>2</v>
      </c>
      <c r="C64" s="39" t="str">
        <f t="shared" ref="C64:C78" si="11">VLOOKUP($B64,$K$37:$Q$52,2,FALSE)</f>
        <v>Chester Valley 2</v>
      </c>
      <c r="D64" s="39" t="str">
        <f t="shared" ref="D64:D78" si="12">VLOOKUP($B64,$K$37:$Q$52,4,FALSE)</f>
        <v>Christian Arena</v>
      </c>
      <c r="E64" s="39" t="str">
        <f t="shared" ref="E64:E78" si="13">VLOOKUP($B64,$K$37:$Q$52,5,FALSE)</f>
        <v xml:space="preserve">arena10911@gmail.com </v>
      </c>
      <c r="F64" s="38">
        <f t="shared" ref="F64:F78" si="14">VLOOKUP($B64,$K$37:$Q$52,6,FALSE)</f>
        <v>0</v>
      </c>
      <c r="G64" s="39" t="str">
        <f t="shared" ref="G64:G78" si="15">VLOOKUP($B64,$K$37:$Q$52,3,FALSE)</f>
        <v>CV2-D27-BB9</v>
      </c>
      <c r="H64" s="39" t="str">
        <f t="shared" ref="H64:H78" si="16">VLOOKUP($B64,$K$37:$Q$52,7,FALSE)</f>
        <v/>
      </c>
    </row>
    <row r="65" spans="2:8" x14ac:dyDescent="0.45">
      <c r="B65" s="38">
        <v>3</v>
      </c>
      <c r="C65" s="39" t="str">
        <f t="shared" si="11"/>
        <v>Lower Perk 2</v>
      </c>
      <c r="D65" s="39" t="str">
        <f t="shared" si="12"/>
        <v>Chris Brower</v>
      </c>
      <c r="E65" s="66" t="str">
        <f t="shared" si="13"/>
        <v>cjbrower22@aol.com</v>
      </c>
      <c r="F65" s="38">
        <f t="shared" si="14"/>
        <v>0</v>
      </c>
      <c r="G65" s="39" t="str">
        <f t="shared" si="15"/>
        <v>LP2-D27-BB9</v>
      </c>
      <c r="H65" s="39" t="str">
        <f t="shared" si="16"/>
        <v/>
      </c>
    </row>
    <row r="66" spans="2:8" x14ac:dyDescent="0.45">
      <c r="B66" s="38">
        <v>4</v>
      </c>
      <c r="C66" s="39" t="str">
        <f t="shared" si="11"/>
        <v>Radnor/Wayne 2</v>
      </c>
      <c r="D66" s="39" t="str">
        <f t="shared" si="12"/>
        <v>Nate Parkyn</v>
      </c>
      <c r="E66" s="39" t="str">
        <f t="shared" si="13"/>
        <v>natep.rwll@gmail.com</v>
      </c>
      <c r="F66" s="38">
        <f t="shared" si="14"/>
        <v>0</v>
      </c>
      <c r="G66" s="39" t="str">
        <f t="shared" si="15"/>
        <v>RW2-D27-BB9</v>
      </c>
      <c r="H66" s="39" t="str">
        <f t="shared" si="16"/>
        <v/>
      </c>
    </row>
    <row r="67" spans="2:8" x14ac:dyDescent="0.45">
      <c r="B67" s="38">
        <v>5</v>
      </c>
      <c r="C67" s="39" t="str">
        <f t="shared" si="11"/>
        <v>Coventry</v>
      </c>
      <c r="D67" s="39" t="str">
        <f t="shared" si="12"/>
        <v>Marc Brown</v>
      </c>
      <c r="E67" s="39" t="str">
        <f t="shared" si="13"/>
        <v>marc_brown@live.com</v>
      </c>
      <c r="F67" s="38" t="str">
        <f t="shared" si="14"/>
        <v>717-413-1341</v>
      </c>
      <c r="G67" s="39" t="str">
        <f t="shared" si="15"/>
        <v>COV-D27-BB9</v>
      </c>
      <c r="H67" s="39" t="str">
        <f t="shared" si="16"/>
        <v>COV-Wampler Complex</v>
      </c>
    </row>
    <row r="68" spans="2:8" x14ac:dyDescent="0.45">
      <c r="B68" s="38">
        <v>6</v>
      </c>
      <c r="C68" s="39" t="str">
        <f t="shared" si="11"/>
        <v>Pottsgrove-Pottstown</v>
      </c>
      <c r="D68" s="39" t="str">
        <f t="shared" si="12"/>
        <v>Joe Houseal</v>
      </c>
      <c r="E68" s="39" t="str">
        <f t="shared" si="13"/>
        <v>Jhouseal1221@yahoo.com</v>
      </c>
      <c r="F68" s="38" t="str">
        <f t="shared" si="14"/>
        <v>484 925 3037</v>
      </c>
      <c r="G68" s="39" t="str">
        <f t="shared" si="15"/>
        <v>PGP-D27-BB9</v>
      </c>
      <c r="H68" s="39" t="str">
        <f t="shared" si="16"/>
        <v>PGP-Novak Park</v>
      </c>
    </row>
    <row r="69" spans="2:8" x14ac:dyDescent="0.45">
      <c r="B69" s="38">
        <v>7</v>
      </c>
      <c r="C69" s="39" t="str">
        <f t="shared" si="11"/>
        <v>Upper Providence 2</v>
      </c>
      <c r="D69" s="39" t="str">
        <f t="shared" si="12"/>
        <v>Jim Andrezejewski</v>
      </c>
      <c r="E69" s="39" t="str">
        <f t="shared" si="13"/>
        <v>james.andrzejewski@gmail.com</v>
      </c>
      <c r="F69" s="38">
        <f t="shared" si="14"/>
        <v>0</v>
      </c>
      <c r="G69" s="39" t="str">
        <f t="shared" si="15"/>
        <v>UP2-D27-BB9</v>
      </c>
      <c r="H69" s="39" t="str">
        <f t="shared" si="16"/>
        <v/>
      </c>
    </row>
    <row r="70" spans="2:8" x14ac:dyDescent="0.45">
      <c r="B70" s="38">
        <v>8</v>
      </c>
      <c r="C70" s="39" t="str">
        <f t="shared" si="11"/>
        <v>GVE 3</v>
      </c>
      <c r="D70" s="39" t="str">
        <f t="shared" si="12"/>
        <v>Mike Reinking</v>
      </c>
      <c r="E70" s="39" t="str">
        <f t="shared" si="13"/>
        <v>mike@mediaoneproducts.com</v>
      </c>
      <c r="F70" s="38">
        <f t="shared" si="14"/>
        <v>0</v>
      </c>
      <c r="G70" s="13" t="str">
        <f t="shared" si="15"/>
        <v>GVE3-D27-BB9</v>
      </c>
      <c r="H70" s="39" t="str">
        <f t="shared" si="16"/>
        <v/>
      </c>
    </row>
    <row r="71" spans="2:8" x14ac:dyDescent="0.45">
      <c r="B71" s="38">
        <v>9</v>
      </c>
      <c r="C71" s="39" t="str">
        <f t="shared" si="11"/>
        <v>Radnor/Wayne 1</v>
      </c>
      <c r="D71" s="39" t="str">
        <f t="shared" si="12"/>
        <v>Mike Frascella</v>
      </c>
      <c r="E71" s="39" t="str">
        <f t="shared" si="13"/>
        <v>stfrazz@gmail.com</v>
      </c>
      <c r="F71" s="38">
        <f t="shared" si="14"/>
        <v>0</v>
      </c>
      <c r="G71" s="39" t="str">
        <f t="shared" si="15"/>
        <v>RW1-D27-BB9</v>
      </c>
      <c r="H71" s="39" t="str">
        <f t="shared" si="16"/>
        <v>R/W-Encke Park</v>
      </c>
    </row>
    <row r="72" spans="2:8" x14ac:dyDescent="0.45">
      <c r="B72" s="38">
        <v>10</v>
      </c>
      <c r="C72" s="39" t="str">
        <f t="shared" si="11"/>
        <v>Lower Perk 1</v>
      </c>
      <c r="D72" s="39" t="str">
        <f t="shared" si="12"/>
        <v>Stephen Viccica</v>
      </c>
      <c r="E72" s="39" t="str">
        <f t="shared" si="13"/>
        <v>sviccica@gmail.com</v>
      </c>
      <c r="F72" s="38">
        <f t="shared" si="14"/>
        <v>0</v>
      </c>
      <c r="G72" s="39" t="str">
        <f t="shared" si="15"/>
        <v>LP1-D27-BB9</v>
      </c>
      <c r="H72" s="39" t="str">
        <f t="shared" si="16"/>
        <v>LP-Palmer Park</v>
      </c>
    </row>
    <row r="73" spans="2:8" x14ac:dyDescent="0.45">
      <c r="B73" s="38">
        <v>11</v>
      </c>
      <c r="C73" s="39" t="str">
        <f t="shared" si="11"/>
        <v>GVE 1</v>
      </c>
      <c r="D73" s="39" t="str">
        <f t="shared" si="12"/>
        <v>Matt Heintz</v>
      </c>
      <c r="E73" s="39" t="str">
        <f t="shared" si="13"/>
        <v>heintz14@gmail.com</v>
      </c>
      <c r="F73" s="38">
        <f t="shared" si="14"/>
        <v>0</v>
      </c>
      <c r="G73" s="39" t="str">
        <f t="shared" si="15"/>
        <v>GVE1-D27-BB9</v>
      </c>
      <c r="H73" s="39" t="str">
        <f t="shared" si="16"/>
        <v>GV-King Road</v>
      </c>
    </row>
    <row r="74" spans="2:8" x14ac:dyDescent="0.45">
      <c r="B74" s="38">
        <v>12</v>
      </c>
      <c r="C74" s="39" t="str">
        <f t="shared" si="11"/>
        <v>Chester Valley 1</v>
      </c>
      <c r="D74" s="39" t="str">
        <f t="shared" si="12"/>
        <v>Mike Miley</v>
      </c>
      <c r="E74" s="39" t="str">
        <f t="shared" si="13"/>
        <v>mikemiley13@gmail.com</v>
      </c>
      <c r="F74" s="38">
        <f t="shared" si="14"/>
        <v>0</v>
      </c>
      <c r="G74" s="39" t="str">
        <f t="shared" si="15"/>
        <v>CV1-D27-BB9</v>
      </c>
      <c r="H74" s="39" t="str">
        <f t="shared" si="16"/>
        <v>CV-Monument Park</v>
      </c>
    </row>
    <row r="75" spans="2:8" x14ac:dyDescent="0.45">
      <c r="B75" s="38">
        <v>13</v>
      </c>
      <c r="C75" s="39" t="str">
        <f t="shared" si="11"/>
        <v>Devon/Strafford</v>
      </c>
      <c r="D75" s="39" t="str">
        <f t="shared" si="12"/>
        <v>Dale Kline</v>
      </c>
      <c r="E75" s="66" t="str">
        <f t="shared" si="13"/>
        <v>dale@qemg.com</v>
      </c>
      <c r="F75" s="38">
        <f t="shared" si="14"/>
        <v>0</v>
      </c>
      <c r="G75" s="39" t="str">
        <f t="shared" si="15"/>
        <v>DS-D27-BB9</v>
      </c>
      <c r="H75" s="39" t="str">
        <f t="shared" si="16"/>
        <v>D/S-Clarke Field</v>
      </c>
    </row>
    <row r="76" spans="2:8" x14ac:dyDescent="0.45">
      <c r="B76" s="38">
        <v>14</v>
      </c>
      <c r="C76" s="39" t="str">
        <f t="shared" si="11"/>
        <v>Lower Merion</v>
      </c>
      <c r="D76" s="39" t="str">
        <f t="shared" si="12"/>
        <v>Scott Shaw</v>
      </c>
      <c r="E76" s="39" t="str">
        <f t="shared" si="13"/>
        <v>sshaw0379@gmail.com</v>
      </c>
      <c r="F76" s="38" t="str">
        <f t="shared" si="14"/>
        <v>267-625-8863</v>
      </c>
      <c r="G76" s="13" t="str">
        <f t="shared" si="15"/>
        <v>LM-D27-BB9</v>
      </c>
      <c r="H76" s="39" t="str">
        <f t="shared" si="16"/>
        <v>Lower Merion</v>
      </c>
    </row>
    <row r="77" spans="2:8" x14ac:dyDescent="0.45">
      <c r="B77" s="38">
        <v>15</v>
      </c>
      <c r="C77" s="39" t="str">
        <f t="shared" si="11"/>
        <v>Berwyn-Paoli</v>
      </c>
      <c r="D77" s="39" t="str">
        <f t="shared" si="12"/>
        <v>Adam Strittmatter</v>
      </c>
      <c r="E77" s="39" t="str">
        <f t="shared" si="13"/>
        <v>adamstrittmatter@yahoo.com</v>
      </c>
      <c r="F77" s="38">
        <f t="shared" si="14"/>
        <v>0</v>
      </c>
      <c r="G77" s="39" t="str">
        <f t="shared" si="15"/>
        <v>BP-D27-BB9</v>
      </c>
      <c r="H77" s="39" t="str">
        <f t="shared" si="16"/>
        <v>BP-Field of Dreams</v>
      </c>
    </row>
    <row r="78" spans="2:8" x14ac:dyDescent="0.45">
      <c r="B78" s="38">
        <v>16</v>
      </c>
      <c r="C78" s="39" t="str">
        <f t="shared" si="11"/>
        <v>Upper Providence 1</v>
      </c>
      <c r="D78" s="39" t="str">
        <f t="shared" si="12"/>
        <v>Jacob Barnes</v>
      </c>
      <c r="E78" s="39" t="str">
        <f t="shared" si="13"/>
        <v>Jakebarnes11@hotmail.com</v>
      </c>
      <c r="F78" s="38">
        <f t="shared" si="14"/>
        <v>0</v>
      </c>
      <c r="G78" s="13" t="str">
        <f t="shared" si="15"/>
        <v>UP1-D27-BB9</v>
      </c>
      <c r="H78" s="39" t="str">
        <f t="shared" si="16"/>
        <v>UP-MacFarlan Park</v>
      </c>
    </row>
  </sheetData>
  <mergeCells count="1">
    <mergeCell ref="G1:K1"/>
  </mergeCells>
  <conditionalFormatting sqref="N2:N32">
    <cfRule type="cellIs" dxfId="1" priority="1" operator="equal">
      <formula>"Softball"</formula>
    </cfRule>
    <cfRule type="cellIs" dxfId="0" priority="2" operator="equal">
      <formula>"Baseball"</formula>
    </cfRule>
  </conditionalFormatting>
  <hyperlinks>
    <hyperlink ref="E49" r:id="rId1" xr:uid="{6238233C-4863-4408-8948-B5641B264C6B}"/>
    <hyperlink ref="E48" r:id="rId2" xr:uid="{F967C01F-B826-4F7E-B8EE-0AE2CC5B36E4}"/>
    <hyperlink ref="E40" r:id="rId3" xr:uid="{2934C957-C9AF-43ED-B421-B5FEB60A0455}"/>
    <hyperlink ref="E43" r:id="rId4" xr:uid="{29E7B078-7100-4C35-8FB7-29668D12BE4E}"/>
    <hyperlink ref="E38" r:id="rId5" xr:uid="{82EB443A-3B25-4BF5-BC46-1A7F2C731948}"/>
    <hyperlink ref="E52" r:id="rId6" xr:uid="{2010941E-A958-48C1-9C1D-F3328CC1A84B}"/>
    <hyperlink ref="E51" r:id="rId7" xr:uid="{1BD4C81A-8F71-4A91-8579-4214B523FFD4}"/>
    <hyperlink ref="E50" r:id="rId8" xr:uid="{47F03161-112B-48EE-98AA-825F5CCC4AB4}"/>
    <hyperlink ref="E42" r:id="rId9" xr:uid="{B1D324DF-7C75-4B88-BC18-121FD16EA29E}"/>
    <hyperlink ref="E41" r:id="rId10" xr:uid="{573941F1-3D42-40DE-8B7C-3AC05BD56F2F}"/>
    <hyperlink ref="E45" r:id="rId11" xr:uid="{C0130FAD-27BB-432A-AC22-A696510094F0}"/>
    <hyperlink ref="E44" r:id="rId12" xr:uid="{FCD3B392-407E-4345-9228-24DC4162F025}"/>
    <hyperlink ref="E37" r:id="rId13" xr:uid="{72099CB8-16D4-48D7-AE67-5B4350397048}"/>
    <hyperlink ref="E39" r:id="rId14" xr:uid="{EE445DA5-AA1B-4569-ACBD-806F54424CFF}"/>
    <hyperlink ref="E47" r:id="rId15" xr:uid="{FC02BA30-20EA-4C63-AEFD-C7CFE261B21E}"/>
    <hyperlink ref="E46" r:id="rId16" xr:uid="{BFB8CE54-8F32-464E-BB2F-83A76BE677B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5F944-9C37-489A-B23C-C346AB58EA85}">
  <dimension ref="A1:L32"/>
  <sheetViews>
    <sheetView workbookViewId="0">
      <selection activeCell="A22" sqref="A22:L25"/>
    </sheetView>
  </sheetViews>
  <sheetFormatPr defaultRowHeight="14.25" x14ac:dyDescent="0.45"/>
  <cols>
    <col min="1" max="2" width="12.59765625" style="70" customWidth="1"/>
    <col min="3" max="4" width="15.59765625" style="70" customWidth="1"/>
    <col min="5" max="5" width="24.59765625" style="70" customWidth="1"/>
    <col min="6" max="6" width="12.59765625" style="70" customWidth="1"/>
    <col min="7" max="12" width="5.59765625" style="70" customWidth="1"/>
    <col min="13" max="16384" width="9.06640625" style="70"/>
  </cols>
  <sheetData>
    <row r="1" spans="1:12" x14ac:dyDescent="0.45">
      <c r="A1" s="69" t="s">
        <v>2</v>
      </c>
      <c r="B1" s="69" t="s">
        <v>3</v>
      </c>
      <c r="C1" s="69" t="s">
        <v>168</v>
      </c>
      <c r="D1" s="69" t="s">
        <v>169</v>
      </c>
      <c r="E1" s="69" t="s">
        <v>170</v>
      </c>
      <c r="F1" s="69" t="s">
        <v>171</v>
      </c>
      <c r="G1" s="69"/>
      <c r="H1" s="69"/>
      <c r="I1" s="69"/>
      <c r="J1" s="69"/>
      <c r="K1" s="69"/>
      <c r="L1" s="69"/>
    </row>
    <row r="2" spans="1:12" x14ac:dyDescent="0.45">
      <c r="A2" s="71">
        <f>+'D27'!D2</f>
        <v>45822</v>
      </c>
      <c r="B2" s="72">
        <f>+'D27'!E2</f>
        <v>0.625</v>
      </c>
      <c r="C2" s="73" t="str">
        <f>+'D27'!S2</f>
        <v>GVE2-D27-BB9</v>
      </c>
      <c r="D2" s="73" t="str">
        <f>+'D27'!T2</f>
        <v>RW1-D27-BB9</v>
      </c>
      <c r="E2" s="73" t="str">
        <f>+'D27'!L2</f>
        <v>R/W-Encke Park</v>
      </c>
      <c r="F2" s="73">
        <v>120</v>
      </c>
      <c r="G2" s="73"/>
      <c r="H2" s="73"/>
      <c r="I2" s="73"/>
      <c r="J2" s="73"/>
      <c r="K2" s="73"/>
      <c r="L2" s="73"/>
    </row>
    <row r="3" spans="1:12" x14ac:dyDescent="0.45">
      <c r="A3" s="71">
        <f>+'D27'!D3</f>
        <v>45822</v>
      </c>
      <c r="B3" s="72">
        <f>+'D27'!E3</f>
        <v>0.5</v>
      </c>
      <c r="C3" s="73" t="str">
        <f>+'D27'!S3</f>
        <v>CV2-D27-BB9</v>
      </c>
      <c r="D3" s="73" t="str">
        <f>+'D27'!T3</f>
        <v>LP1-D27-BB9</v>
      </c>
      <c r="E3" s="73" t="str">
        <f>+'D27'!L3</f>
        <v>LP-Palmer Park</v>
      </c>
      <c r="F3" s="73">
        <v>120</v>
      </c>
      <c r="G3" s="73"/>
      <c r="H3" s="73"/>
      <c r="I3" s="73"/>
      <c r="J3" s="73"/>
      <c r="K3" s="73"/>
      <c r="L3" s="73"/>
    </row>
    <row r="4" spans="1:12" x14ac:dyDescent="0.45">
      <c r="A4" s="71">
        <f>+'D27'!D4</f>
        <v>45822</v>
      </c>
      <c r="B4" s="72">
        <f>+'D27'!E4</f>
        <v>0.41666666666666669</v>
      </c>
      <c r="C4" s="73" t="str">
        <f>+'D27'!S4</f>
        <v>LP2-D27-BB9</v>
      </c>
      <c r="D4" s="73" t="str">
        <f>+'D27'!T4</f>
        <v>GVE1-D27-BB9</v>
      </c>
      <c r="E4" s="73" t="str">
        <f>+'D27'!L4</f>
        <v>LP-Palmer Park</v>
      </c>
      <c r="F4" s="73">
        <v>120</v>
      </c>
      <c r="G4" s="73"/>
      <c r="H4" s="73"/>
      <c r="I4" s="73"/>
      <c r="J4" s="73"/>
      <c r="K4" s="73"/>
      <c r="L4" s="73"/>
    </row>
    <row r="5" spans="1:12" x14ac:dyDescent="0.45">
      <c r="A5" s="71">
        <f>+'D27'!D5</f>
        <v>45822</v>
      </c>
      <c r="B5" s="72">
        <f>+'D27'!E5</f>
        <v>0.54166666666666663</v>
      </c>
      <c r="C5" s="73" t="str">
        <f>+'D27'!S5</f>
        <v>RW2-D27-BB9</v>
      </c>
      <c r="D5" s="73" t="str">
        <f>+'D27'!T5</f>
        <v>CV1-D27-BB9</v>
      </c>
      <c r="E5" s="73" t="str">
        <f>+'D27'!L5</f>
        <v>R/W-Encke Park</v>
      </c>
      <c r="F5" s="73">
        <v>120</v>
      </c>
      <c r="G5" s="73"/>
      <c r="H5" s="73"/>
      <c r="I5" s="73"/>
      <c r="J5" s="73"/>
      <c r="K5" s="73"/>
      <c r="L5" s="73"/>
    </row>
    <row r="6" spans="1:12" x14ac:dyDescent="0.45">
      <c r="A6" s="71">
        <f>+'D27'!D6</f>
        <v>45822</v>
      </c>
      <c r="B6" s="72">
        <f>+'D27'!E6</f>
        <v>0.41666666666666669</v>
      </c>
      <c r="C6" s="73" t="str">
        <f>+'D27'!S6</f>
        <v>COV-D27-BB9</v>
      </c>
      <c r="D6" s="73" t="str">
        <f>+'D27'!T6</f>
        <v>DS-D27-BB9</v>
      </c>
      <c r="E6" s="73" t="str">
        <f>+'D27'!L6</f>
        <v>D/S-Clarke Field</v>
      </c>
      <c r="F6" s="73">
        <v>120</v>
      </c>
      <c r="G6" s="73"/>
      <c r="H6" s="73"/>
      <c r="I6" s="73"/>
      <c r="J6" s="73"/>
      <c r="K6" s="73"/>
      <c r="L6" s="73"/>
    </row>
    <row r="7" spans="1:12" x14ac:dyDescent="0.45">
      <c r="A7" s="71">
        <f>+'D27'!D7</f>
        <v>45822</v>
      </c>
      <c r="B7" s="72">
        <f>+'D27'!E7</f>
        <v>0.5</v>
      </c>
      <c r="C7" s="73" t="str">
        <f>+'D27'!S7</f>
        <v>PGP-D27-BB9</v>
      </c>
      <c r="D7" s="73" t="str">
        <f>+'D27'!T7</f>
        <v>LM-D27-BB9</v>
      </c>
      <c r="E7" s="73" t="str">
        <f>+'D27'!L7</f>
        <v>Lower Merion</v>
      </c>
      <c r="F7" s="73">
        <v>120</v>
      </c>
      <c r="G7" s="73"/>
      <c r="H7" s="73"/>
      <c r="I7" s="73"/>
      <c r="J7" s="73"/>
      <c r="K7" s="73"/>
      <c r="L7" s="73"/>
    </row>
    <row r="8" spans="1:12" x14ac:dyDescent="0.45">
      <c r="A8" s="71">
        <f>+'D27'!D8</f>
        <v>45822</v>
      </c>
      <c r="B8" s="72">
        <f>+'D27'!E8</f>
        <v>0.5</v>
      </c>
      <c r="C8" s="73" t="str">
        <f>+'D27'!S8</f>
        <v>UP2-D27-BB9</v>
      </c>
      <c r="D8" s="73" t="str">
        <f>+'D27'!T8</f>
        <v>BP-D27-BB9</v>
      </c>
      <c r="E8" s="73" t="str">
        <f>+'D27'!L8</f>
        <v>D/S-Clarke Field</v>
      </c>
      <c r="F8" s="73">
        <v>120</v>
      </c>
      <c r="G8" s="73"/>
      <c r="H8" s="73"/>
      <c r="I8" s="73"/>
      <c r="J8" s="73"/>
      <c r="K8" s="73"/>
      <c r="L8" s="73"/>
    </row>
    <row r="9" spans="1:12" x14ac:dyDescent="0.45">
      <c r="A9" s="71">
        <f>+'D27'!D9</f>
        <v>45822</v>
      </c>
      <c r="B9" s="72">
        <f>+'D27'!E9</f>
        <v>0.58333333333333337</v>
      </c>
      <c r="C9" s="73" t="str">
        <f>+'D27'!S9</f>
        <v>GVE3-D27-BB9</v>
      </c>
      <c r="D9" s="73" t="str">
        <f>+'D27'!T9</f>
        <v>UP1-D27-BB9</v>
      </c>
      <c r="E9" s="73" t="str">
        <f>+'D27'!L9</f>
        <v>Lower Merion</v>
      </c>
      <c r="F9" s="73">
        <v>120</v>
      </c>
      <c r="G9" s="73"/>
      <c r="H9" s="73"/>
      <c r="I9" s="73"/>
      <c r="J9" s="73"/>
      <c r="K9" s="73"/>
      <c r="L9" s="73"/>
    </row>
    <row r="10" spans="1:12" x14ac:dyDescent="0.45">
      <c r="A10" s="71">
        <f>+'D27'!D10</f>
        <v>45823</v>
      </c>
      <c r="B10" s="72">
        <f>+'D27'!E10</f>
        <v>0.54166666666666663</v>
      </c>
      <c r="C10" s="73" t="str">
        <f ca="1">+'D27'!S10</f>
        <v>GVE2-D27-BB9</v>
      </c>
      <c r="D10" s="73" t="str">
        <f ca="1">+'D27'!T10</f>
        <v>CV2-D27-BB9</v>
      </c>
      <c r="E10" s="73" t="str">
        <f>+'D27'!L10</f>
        <v>GV-King Road</v>
      </c>
      <c r="F10" s="73">
        <v>120</v>
      </c>
      <c r="G10" s="73"/>
      <c r="H10" s="73"/>
      <c r="I10" s="73"/>
      <c r="J10" s="73"/>
      <c r="K10" s="73"/>
      <c r="L10" s="73"/>
    </row>
    <row r="11" spans="1:12" x14ac:dyDescent="0.45">
      <c r="A11" s="71">
        <f>+'D27'!D11</f>
        <v>45823</v>
      </c>
      <c r="B11" s="72">
        <f>+'D27'!E11</f>
        <v>0.625</v>
      </c>
      <c r="C11" s="73" t="str">
        <f ca="1">+'D27'!S11</f>
        <v>LP2-D27-BB9</v>
      </c>
      <c r="D11" s="73" t="str">
        <f ca="1">+'D27'!T11</f>
        <v>RW2-D27-BB9</v>
      </c>
      <c r="E11" s="73" t="str">
        <f>+'D27'!L11</f>
        <v>GV-King Road</v>
      </c>
      <c r="F11" s="73">
        <v>120</v>
      </c>
      <c r="G11" s="73"/>
      <c r="H11" s="73"/>
      <c r="I11" s="73"/>
      <c r="J11" s="73"/>
      <c r="K11" s="73"/>
      <c r="L11" s="73"/>
    </row>
    <row r="12" spans="1:12" x14ac:dyDescent="0.45">
      <c r="A12" s="71">
        <f>+'D27'!D12</f>
        <v>45823</v>
      </c>
      <c r="B12" s="72">
        <f>+'D27'!E12</f>
        <v>0.54166666666666663</v>
      </c>
      <c r="C12" s="73" t="str">
        <f ca="1">+'D27'!S12</f>
        <v>DS-D27-BB9</v>
      </c>
      <c r="D12" s="73" t="str">
        <f ca="1">+'D27'!T12</f>
        <v>PGP-D27-BB9</v>
      </c>
      <c r="E12" s="73" t="str">
        <f>+'D27'!L12</f>
        <v>BP-Field of Dreams</v>
      </c>
      <c r="F12" s="73">
        <v>120</v>
      </c>
      <c r="G12" s="73"/>
      <c r="H12" s="73"/>
      <c r="I12" s="73"/>
      <c r="J12" s="73"/>
      <c r="K12" s="73"/>
      <c r="L12" s="73"/>
    </row>
    <row r="13" spans="1:12" x14ac:dyDescent="0.45">
      <c r="A13" s="71">
        <f>+'D27'!D13</f>
        <v>45823</v>
      </c>
      <c r="B13" s="72">
        <f>+'D27'!E13</f>
        <v>0.625</v>
      </c>
      <c r="C13" s="73" t="str">
        <f ca="1">+'D27'!S13</f>
        <v>BP-D27-BB9</v>
      </c>
      <c r="D13" s="73" t="str">
        <f ca="1">+'D27'!T13</f>
        <v>GVE3-D27-BB9</v>
      </c>
      <c r="E13" s="73" t="str">
        <f>+'D27'!L13</f>
        <v>BP-Field of Dreams</v>
      </c>
      <c r="F13" s="73">
        <v>120</v>
      </c>
      <c r="G13" s="73"/>
      <c r="H13" s="73"/>
      <c r="I13" s="73"/>
      <c r="J13" s="73"/>
      <c r="K13" s="73"/>
      <c r="L13" s="73"/>
    </row>
    <row r="14" spans="1:12" x14ac:dyDescent="0.45">
      <c r="A14" s="71">
        <f>+'D27'!D14</f>
        <v>45823</v>
      </c>
      <c r="B14" s="72">
        <f>+'D27'!E14</f>
        <v>0.54166666666666663</v>
      </c>
      <c r="C14" s="73" t="str">
        <f ca="1">+'D27'!S14</f>
        <v>RW1-D27-BB9</v>
      </c>
      <c r="D14" s="73" t="str">
        <f ca="1">+'D27'!T14</f>
        <v>LP1-D27-BB9</v>
      </c>
      <c r="E14" s="73" t="str">
        <f>+'D27'!L14</f>
        <v>CV-Monument Park</v>
      </c>
      <c r="F14" s="73">
        <v>120</v>
      </c>
      <c r="G14" s="73"/>
      <c r="H14" s="73"/>
      <c r="I14" s="73"/>
      <c r="J14" s="73"/>
      <c r="K14" s="73"/>
      <c r="L14" s="73"/>
    </row>
    <row r="15" spans="1:12" x14ac:dyDescent="0.45">
      <c r="A15" s="71">
        <f>+'D27'!D15</f>
        <v>45823</v>
      </c>
      <c r="B15" s="72">
        <f>+'D27'!E15</f>
        <v>0.625</v>
      </c>
      <c r="C15" s="73" t="str">
        <f ca="1">+'D27'!S15</f>
        <v>GVE1-D27-BB9</v>
      </c>
      <c r="D15" s="73" t="str">
        <f ca="1">+'D27'!T15</f>
        <v>CV1-D27-BB9</v>
      </c>
      <c r="E15" s="73" t="str">
        <f>+'D27'!L15</f>
        <v>CV-Monument Park</v>
      </c>
      <c r="F15" s="73">
        <v>120</v>
      </c>
      <c r="G15" s="73"/>
      <c r="H15" s="73"/>
      <c r="I15" s="73"/>
      <c r="J15" s="73"/>
      <c r="K15" s="73"/>
      <c r="L15" s="73"/>
    </row>
    <row r="16" spans="1:12" x14ac:dyDescent="0.45">
      <c r="A16" s="71">
        <f>+'D27'!D16</f>
        <v>45823</v>
      </c>
      <c r="B16" s="72">
        <f>+'D27'!E16</f>
        <v>0.54166666666666663</v>
      </c>
      <c r="C16" s="73" t="str">
        <f ca="1">+'D27'!S16</f>
        <v>COV-D27-BB9</v>
      </c>
      <c r="D16" s="73" t="str">
        <f ca="1">+'D27'!T16</f>
        <v>LM-D27-BB9</v>
      </c>
      <c r="E16" s="73" t="str">
        <f>+'D27'!L16</f>
        <v>UP-MacFarlan Park</v>
      </c>
      <c r="F16" s="73">
        <v>120</v>
      </c>
      <c r="G16" s="73"/>
      <c r="H16" s="73"/>
      <c r="I16" s="73"/>
      <c r="J16" s="73"/>
      <c r="K16" s="73"/>
      <c r="L16" s="73"/>
    </row>
    <row r="17" spans="1:12" x14ac:dyDescent="0.45">
      <c r="A17" s="71">
        <f>+'D27'!D17</f>
        <v>45823</v>
      </c>
      <c r="B17" s="72">
        <f>+'D27'!E17</f>
        <v>0.625</v>
      </c>
      <c r="C17" s="73" t="str">
        <f ca="1">+'D27'!S17</f>
        <v>UP2-D27-BB9</v>
      </c>
      <c r="D17" s="73" t="str">
        <f ca="1">+'D27'!T17</f>
        <v>UP1-D27-BB9</v>
      </c>
      <c r="E17" s="73" t="str">
        <f>+'D27'!L17</f>
        <v>UP-MacFarlan Park</v>
      </c>
      <c r="F17" s="73">
        <v>120</v>
      </c>
      <c r="G17" s="73"/>
      <c r="H17" s="73"/>
      <c r="I17" s="73"/>
      <c r="J17" s="73"/>
      <c r="K17" s="73"/>
      <c r="L17" s="73"/>
    </row>
    <row r="18" spans="1:12" x14ac:dyDescent="0.45">
      <c r="A18" s="71">
        <f>+'D27'!D18</f>
        <v>45826</v>
      </c>
      <c r="B18" s="72">
        <f>+'D27'!E18</f>
        <v>0.75</v>
      </c>
      <c r="C18" s="73" t="str">
        <f ca="1">+'D27'!S18</f>
        <v>UP2-D27-BB9</v>
      </c>
      <c r="D18" s="73" t="str">
        <f ca="1">+'D27'!T18</f>
        <v>GVE2-D27-BB9</v>
      </c>
      <c r="E18" s="73" t="str">
        <f>+'D27'!L18</f>
        <v>PGP-Novak Park</v>
      </c>
      <c r="F18" s="73">
        <v>120</v>
      </c>
      <c r="G18" s="73"/>
      <c r="H18" s="73"/>
      <c r="I18" s="73"/>
      <c r="J18" s="73"/>
      <c r="K18" s="73"/>
      <c r="L18" s="73"/>
    </row>
    <row r="19" spans="1:12" x14ac:dyDescent="0.45">
      <c r="A19" s="71">
        <f>+'D27'!D19</f>
        <v>45826</v>
      </c>
      <c r="B19" s="72">
        <f>+'D27'!E19</f>
        <v>0.83333333333333337</v>
      </c>
      <c r="C19" s="73" t="str">
        <f ca="1">+'D27'!S19</f>
        <v>RW2-D27-BB9</v>
      </c>
      <c r="D19" s="73" t="str">
        <f ca="1">+'D27'!T19</f>
        <v>COV-D27-BB9</v>
      </c>
      <c r="E19" s="73" t="str">
        <f>+'D27'!L19</f>
        <v>COV-Wampler Complex</v>
      </c>
      <c r="F19" s="73">
        <v>120</v>
      </c>
      <c r="G19" s="73"/>
      <c r="H19" s="73"/>
      <c r="I19" s="73"/>
      <c r="J19" s="73"/>
      <c r="K19" s="73"/>
      <c r="L19" s="73"/>
    </row>
    <row r="20" spans="1:12" x14ac:dyDescent="0.45">
      <c r="A20" s="71">
        <f>+'D27'!D20</f>
        <v>45826</v>
      </c>
      <c r="B20" s="72">
        <f>+'D27'!E20</f>
        <v>0.83333333333333337</v>
      </c>
      <c r="C20" s="73" t="str">
        <f ca="1">+'D27'!S20</f>
        <v>CV1-D27-BB9</v>
      </c>
      <c r="D20" s="73" t="str">
        <f ca="1">+'D27'!T20</f>
        <v>PGP-D27-BB9</v>
      </c>
      <c r="E20" s="73" t="str">
        <f>+'D27'!L20</f>
        <v>PGP-Novak Park</v>
      </c>
      <c r="F20" s="73">
        <v>120</v>
      </c>
      <c r="G20" s="73"/>
      <c r="H20" s="73"/>
      <c r="I20" s="73"/>
      <c r="J20" s="73"/>
      <c r="K20" s="73"/>
      <c r="L20" s="73"/>
    </row>
    <row r="21" spans="1:12" x14ac:dyDescent="0.45">
      <c r="A21" s="71">
        <f>+'D27'!D21</f>
        <v>45826</v>
      </c>
      <c r="B21" s="72">
        <f>+'D27'!E21</f>
        <v>0.75</v>
      </c>
      <c r="C21" s="73" t="str">
        <f ca="1">+'D27'!S21</f>
        <v>GVE3-D27-BB9</v>
      </c>
      <c r="D21" s="73" t="str">
        <f ca="1">+'D27'!T21</f>
        <v>LP1-D27-BB9</v>
      </c>
      <c r="E21" s="73" t="str">
        <f>+'D27'!L21</f>
        <v>COV-Wampler Complex</v>
      </c>
      <c r="F21" s="73">
        <v>120</v>
      </c>
      <c r="G21" s="73"/>
      <c r="H21" s="73"/>
      <c r="I21" s="73"/>
      <c r="J21" s="73"/>
      <c r="K21" s="73"/>
      <c r="L21" s="73"/>
    </row>
    <row r="22" spans="1:12" x14ac:dyDescent="0.45">
      <c r="A22" s="71">
        <f>+'D27'!D22</f>
        <v>45829</v>
      </c>
      <c r="B22" s="72">
        <f>+'D27'!E22</f>
        <v>0.45833333333333331</v>
      </c>
      <c r="C22" s="73" t="str">
        <f ca="1">+'D27'!S22</f>
        <v>RW1-D27-BB9</v>
      </c>
      <c r="D22" s="73" t="str">
        <f ca="1">+'D27'!T22</f>
        <v>GVE1-D27-BB9</v>
      </c>
      <c r="E22" s="73" t="str">
        <f>+'D27'!L22</f>
        <v>EX-Ship Park</v>
      </c>
      <c r="F22" s="73">
        <v>120</v>
      </c>
      <c r="G22" s="73"/>
      <c r="H22" s="73"/>
      <c r="I22" s="73"/>
      <c r="J22" s="73"/>
      <c r="K22" s="73"/>
      <c r="L22" s="73"/>
    </row>
    <row r="23" spans="1:12" x14ac:dyDescent="0.45">
      <c r="A23" s="71">
        <f>+'D27'!D23</f>
        <v>45829</v>
      </c>
      <c r="B23" s="72">
        <f>+'D27'!E23</f>
        <v>0.54166666666666663</v>
      </c>
      <c r="C23" s="73" t="str">
        <f ca="1">+'D27'!S23</f>
        <v>LM-D27-BB9</v>
      </c>
      <c r="D23" s="73" t="str">
        <f ca="1">+'D27'!T23</f>
        <v>UP1-D27-BB9</v>
      </c>
      <c r="E23" s="73" t="str">
        <f>+'D27'!L23</f>
        <v>UP-MacFarlan Park</v>
      </c>
      <c r="F23" s="73">
        <v>120</v>
      </c>
      <c r="G23" s="73"/>
      <c r="H23" s="73"/>
      <c r="I23" s="73"/>
      <c r="J23" s="73"/>
      <c r="K23" s="73"/>
      <c r="L23" s="73"/>
    </row>
    <row r="24" spans="1:12" x14ac:dyDescent="0.45">
      <c r="A24" s="71">
        <f>+'D27'!D24</f>
        <v>45829</v>
      </c>
      <c r="B24" s="72">
        <f>+'D27'!E24</f>
        <v>0.45833333333333331</v>
      </c>
      <c r="C24" s="73" t="str">
        <f ca="1">+'D27'!S24</f>
        <v>UP2-D27-BB9</v>
      </c>
      <c r="D24" s="73" t="str">
        <f ca="1">+'D27'!T24</f>
        <v>COV-D27-BB9</v>
      </c>
      <c r="E24" s="73" t="str">
        <f>+'D27'!L24</f>
        <v>UP-MacFarlan Park</v>
      </c>
      <c r="F24" s="73">
        <v>120</v>
      </c>
      <c r="G24" s="73"/>
      <c r="H24" s="73"/>
      <c r="I24" s="73"/>
      <c r="J24" s="73"/>
      <c r="K24" s="73"/>
      <c r="L24" s="73"/>
    </row>
    <row r="25" spans="1:12" x14ac:dyDescent="0.45">
      <c r="A25" s="71">
        <f>+'D27'!D25</f>
        <v>45829</v>
      </c>
      <c r="B25" s="72">
        <f>+'D27'!E25</f>
        <v>0.54166666666666663</v>
      </c>
      <c r="C25" s="73" t="str">
        <f ca="1">+'D27'!S25</f>
        <v>CV1-D27-BB9</v>
      </c>
      <c r="D25" s="73" t="str">
        <f ca="1">+'D27'!T25</f>
        <v>LP1-D27-BB9</v>
      </c>
      <c r="E25" s="73" t="str">
        <f>+'D27'!L25</f>
        <v>EX-Ship Park</v>
      </c>
      <c r="F25" s="73">
        <v>120</v>
      </c>
      <c r="G25" s="73"/>
      <c r="H25" s="73"/>
      <c r="I25" s="73"/>
      <c r="J25" s="73"/>
      <c r="K25" s="73"/>
      <c r="L25" s="73"/>
    </row>
    <row r="26" spans="1:12" x14ac:dyDescent="0.45">
      <c r="A26" s="71">
        <f>+'D27'!D26</f>
        <v>45831</v>
      </c>
      <c r="B26" s="72">
        <f>+'D27'!E26</f>
        <v>0.75</v>
      </c>
      <c r="C26" s="73" t="str">
        <f ca="1">+'D27'!S26</f>
        <v>LM-D27-BB9</v>
      </c>
      <c r="D26" s="73" t="str">
        <f ca="1">+'D27'!T26</f>
        <v>LP1-D27-BB9</v>
      </c>
      <c r="E26" s="73" t="str">
        <f>+'D27'!L26</f>
        <v>R/W-Encke Park</v>
      </c>
      <c r="F26" s="73">
        <v>120</v>
      </c>
      <c r="G26" s="73"/>
      <c r="H26" s="73"/>
      <c r="I26" s="73"/>
      <c r="J26" s="73"/>
      <c r="K26" s="73"/>
      <c r="L26" s="73"/>
    </row>
    <row r="27" spans="1:12" x14ac:dyDescent="0.45">
      <c r="A27" s="71">
        <f>+'D27'!D27</f>
        <v>45831</v>
      </c>
      <c r="B27" s="72">
        <f>+'D27'!E27</f>
        <v>0.83333333333333337</v>
      </c>
      <c r="C27" s="73" t="str">
        <f ca="1">+'D27'!S27</f>
        <v>RW1-D27-BB9</v>
      </c>
      <c r="D27" s="73" t="str">
        <f ca="1">+'D27'!T27</f>
        <v>COV-D27-BB9</v>
      </c>
      <c r="E27" s="73" t="str">
        <f>+'D27'!L27</f>
        <v>R/W-Encke Park</v>
      </c>
      <c r="F27" s="73">
        <v>120</v>
      </c>
      <c r="G27" s="73"/>
      <c r="H27" s="73"/>
      <c r="I27" s="73"/>
      <c r="J27" s="73"/>
      <c r="K27" s="73"/>
      <c r="L27" s="73"/>
    </row>
    <row r="28" spans="1:12" x14ac:dyDescent="0.45">
      <c r="A28" s="71">
        <f>+'D27'!D28</f>
        <v>45832</v>
      </c>
      <c r="B28" s="72">
        <f>+'D27'!E28</f>
        <v>0.75</v>
      </c>
      <c r="C28" s="73" t="str">
        <f ca="1">+'D27'!S28</f>
        <v>GVE1-D27-BB9</v>
      </c>
      <c r="D28" s="73" t="str">
        <f ca="1">+'D27'!T28</f>
        <v>UP1-D27-BB9</v>
      </c>
      <c r="E28" s="73" t="str">
        <f>+'D27'!L28</f>
        <v>BP-Field of Dreams</v>
      </c>
      <c r="F28" s="73">
        <v>120</v>
      </c>
      <c r="G28" s="73"/>
      <c r="H28" s="73"/>
      <c r="I28" s="73"/>
      <c r="J28" s="73"/>
      <c r="K28" s="73"/>
      <c r="L28" s="73"/>
    </row>
    <row r="29" spans="1:12" x14ac:dyDescent="0.45">
      <c r="A29" s="71">
        <f>+'D27'!D29</f>
        <v>45833</v>
      </c>
      <c r="B29" s="72">
        <f>+'D27'!E29</f>
        <v>0.75</v>
      </c>
      <c r="C29" s="73" t="str">
        <f ca="1">+'D27'!S29</f>
        <v>COV-D27-BB9</v>
      </c>
      <c r="D29" s="73" t="str">
        <f ca="1">+'D27'!T29</f>
        <v>LM-D27-BB9</v>
      </c>
      <c r="E29" s="73" t="str">
        <f>+'D27'!L29</f>
        <v>CV-Monument Park</v>
      </c>
      <c r="F29" s="73">
        <v>120</v>
      </c>
      <c r="G29" s="73"/>
      <c r="H29" s="73"/>
      <c r="I29" s="73"/>
      <c r="J29" s="73"/>
      <c r="K29" s="73"/>
      <c r="L29" s="73"/>
    </row>
    <row r="30" spans="1:12" x14ac:dyDescent="0.45">
      <c r="A30" s="71">
        <f>+'D27'!D30</f>
        <v>45835</v>
      </c>
      <c r="B30" s="72">
        <f>+'D27'!E30</f>
        <v>0.75</v>
      </c>
      <c r="C30" s="73" t="str">
        <f ca="1">+'D27'!S30</f>
        <v>GVE1-D27-BB9</v>
      </c>
      <c r="D30" s="73" t="str">
        <f ca="1">+'D27'!T30</f>
        <v>COV-D27-BB9</v>
      </c>
      <c r="E30" s="73" t="str">
        <f>+'D27'!L30</f>
        <v>GV-King Road</v>
      </c>
      <c r="F30" s="73">
        <v>120</v>
      </c>
      <c r="G30" s="73"/>
      <c r="H30" s="73"/>
      <c r="I30" s="73"/>
      <c r="J30" s="73"/>
      <c r="K30" s="73"/>
      <c r="L30" s="73"/>
    </row>
    <row r="31" spans="1:12" x14ac:dyDescent="0.45">
      <c r="A31" s="71">
        <f>+'D27'!D31</f>
        <v>45836</v>
      </c>
      <c r="B31" s="72">
        <f>+'D27'!E31</f>
        <v>0.5</v>
      </c>
      <c r="C31" s="73" t="str">
        <f ca="1">+'D27'!S31</f>
        <v>UP1-D27-BB9</v>
      </c>
      <c r="D31" s="73" t="str">
        <f ca="1">+'D27'!T31</f>
        <v>COV-D27-BB9</v>
      </c>
      <c r="E31" s="73" t="str">
        <f>+'D27'!L31</f>
        <v>GV-King Road</v>
      </c>
      <c r="F31" s="73">
        <v>120</v>
      </c>
      <c r="G31" s="73"/>
      <c r="H31" s="73"/>
      <c r="I31" s="73"/>
      <c r="J31" s="73"/>
      <c r="K31" s="73"/>
      <c r="L31" s="73"/>
    </row>
    <row r="32" spans="1:12" x14ac:dyDescent="0.45">
      <c r="A32" s="71">
        <f>+'D27'!D32</f>
        <v>45837</v>
      </c>
      <c r="B32" s="72">
        <f>+'D27'!E32</f>
        <v>0.54166666666666663</v>
      </c>
      <c r="C32" s="73" t="str">
        <f ca="1">+'D27'!S32</f>
        <v>UP1-D27-BB9</v>
      </c>
      <c r="D32" s="73" t="e">
        <f ca="1">+'D27'!T32</f>
        <v>#N/A</v>
      </c>
      <c r="E32" s="73" t="str">
        <f>+'D27'!L32</f>
        <v>GV-King Road</v>
      </c>
      <c r="F32" s="73">
        <v>120</v>
      </c>
      <c r="G32" s="73"/>
      <c r="H32" s="73"/>
      <c r="I32" s="73"/>
      <c r="J32" s="73"/>
      <c r="K32" s="73"/>
      <c r="L32" s="7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SCHEDULE</vt:lpstr>
      <vt:lpstr>BRACKET</vt:lpstr>
      <vt:lpstr>D27</vt:lpstr>
      <vt:lpstr>GC Schedule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Jeff Bennett</cp:lastModifiedBy>
  <cp:lastPrinted>2025-06-28T04:33:02Z</cp:lastPrinted>
  <dcterms:created xsi:type="dcterms:W3CDTF">2025-05-16T06:15:02Z</dcterms:created>
  <dcterms:modified xsi:type="dcterms:W3CDTF">2025-08-06T15:13:39Z</dcterms:modified>
</cp:coreProperties>
</file>