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emovable Disk\JB_Flash_Drive\Jeff\ELL_2025\PA_Dist_27\All-Stars\Schedules\International Games\Completed Games\"/>
    </mc:Choice>
  </mc:AlternateContent>
  <xr:revisionPtr revIDLastSave="0" documentId="13_ncr:1_{CC67AB4A-FCD6-49F0-8195-DE1764325A3B}" xr6:coauthVersionLast="47" xr6:coauthVersionMax="47" xr10:uidLastSave="{00000000-0000-0000-0000-000000000000}"/>
  <bookViews>
    <workbookView xWindow="47880" yWindow="-120" windowWidth="29040" windowHeight="15720" activeTab="1" xr2:uid="{00000000-000D-0000-FFFF-FFFF00000000}"/>
  </bookViews>
  <sheets>
    <sheet name="SCHEDULE" sheetId="1" r:id="rId1"/>
    <sheet name="BRACKET" sheetId="2" r:id="rId2"/>
    <sheet name="D27" sheetId="4" state="hidden" r:id="rId3"/>
  </sheets>
  <definedNames>
    <definedName name="Day">#REF!</definedName>
    <definedName name="DOW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4" l="1"/>
  <c r="P3" i="4"/>
  <c r="P2" i="4"/>
  <c r="A4" i="4"/>
  <c r="A3" i="4"/>
  <c r="A2" i="4"/>
  <c r="M4" i="4" l="1"/>
  <c r="L4" i="4"/>
  <c r="K4" i="4"/>
  <c r="I4" i="4"/>
  <c r="H4" i="4"/>
  <c r="E4" i="4"/>
  <c r="D4" i="4"/>
  <c r="M3" i="4"/>
  <c r="L3" i="4"/>
  <c r="K3" i="4"/>
  <c r="I3" i="4"/>
  <c r="H3" i="4"/>
  <c r="E3" i="4"/>
  <c r="D3" i="4"/>
  <c r="M2" i="4"/>
  <c r="L2" i="4"/>
  <c r="K2" i="4"/>
  <c r="I2" i="4"/>
  <c r="H2" i="4"/>
  <c r="E2" i="4"/>
  <c r="D2" i="4"/>
  <c r="M1" i="4"/>
  <c r="L1" i="4"/>
  <c r="G1" i="4"/>
  <c r="E1" i="4"/>
  <c r="D1" i="4"/>
  <c r="C1" i="4"/>
  <c r="A1" i="4"/>
  <c r="A5" i="2" l="1"/>
  <c r="P6" i="1"/>
  <c r="P4" i="1"/>
  <c r="P2" i="1"/>
  <c r="AA6" i="1"/>
  <c r="AA5" i="1"/>
  <c r="AA4" i="1"/>
  <c r="Q10" i="4"/>
  <c r="P10" i="4"/>
  <c r="O10" i="4"/>
  <c r="N10" i="4"/>
  <c r="M10" i="4"/>
  <c r="L10" i="4"/>
  <c r="B10" i="4"/>
  <c r="Q9" i="4"/>
  <c r="P9" i="4"/>
  <c r="O9" i="4"/>
  <c r="N9" i="4"/>
  <c r="M9" i="4"/>
  <c r="L9" i="4"/>
  <c r="Z2" i="1" s="1"/>
  <c r="AA2" i="1" s="1"/>
  <c r="Q8" i="4"/>
  <c r="P8" i="4"/>
  <c r="O8" i="4"/>
  <c r="M8" i="4"/>
  <c r="F4" i="1" a="1"/>
  <c r="I4" i="1" a="1"/>
  <c r="Y2" i="1" l="1"/>
  <c r="X3" i="1"/>
  <c r="Y3" i="1"/>
  <c r="Z3" i="1"/>
  <c r="AA3" i="1" s="1"/>
  <c r="X2" i="1"/>
  <c r="I4" i="1"/>
  <c r="F4" i="1"/>
  <c r="F6" i="1" a="1"/>
  <c r="I6" i="1" a="1"/>
  <c r="U2" i="1" l="1"/>
  <c r="R2" i="1"/>
  <c r="I6" i="1"/>
  <c r="F6" i="1"/>
  <c r="B5" i="2"/>
  <c r="G3" i="4"/>
  <c r="B11" i="2"/>
  <c r="J3" i="4"/>
  <c r="AA7" i="1"/>
  <c r="F8" i="1" a="1"/>
  <c r="C7" i="2" l="1"/>
  <c r="F8" i="1"/>
  <c r="D12" i="2" s="1"/>
  <c r="D13" i="2" s="1"/>
  <c r="C17" i="2"/>
  <c r="J4" i="4"/>
  <c r="G4" i="4"/>
  <c r="C8" i="2" l="1"/>
  <c r="B6" i="2"/>
  <c r="I2" i="1"/>
  <c r="F2" i="1"/>
  <c r="G2" i="4" l="1"/>
  <c r="A4" i="2"/>
  <c r="J2" i="4"/>
  <c r="A7" i="2"/>
  <c r="B6" i="1"/>
  <c r="C4" i="4" s="1"/>
  <c r="B4" i="1"/>
  <c r="C3" i="4" s="1"/>
  <c r="B2" i="1"/>
  <c r="C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<sst xmlns="http://schemas.openxmlformats.org/spreadsheetml/2006/main" count="68" uniqueCount="48">
  <si>
    <t>G #</t>
  </si>
  <si>
    <t>Day</t>
  </si>
  <si>
    <t>Date</t>
  </si>
  <si>
    <t>Time</t>
  </si>
  <si>
    <t>Teams</t>
  </si>
  <si>
    <t>Host</t>
  </si>
  <si>
    <t>vs</t>
  </si>
  <si>
    <t>LG-1</t>
  </si>
  <si>
    <t>WG-1</t>
  </si>
  <si>
    <t>WG-2</t>
  </si>
  <si>
    <t>Champion</t>
  </si>
  <si>
    <t>Teams &amp; Scores</t>
  </si>
  <si>
    <t>#</t>
  </si>
  <si>
    <t>Team</t>
  </si>
  <si>
    <t>Park</t>
  </si>
  <si>
    <t>Total</t>
  </si>
  <si>
    <t>If Necessary</t>
  </si>
  <si>
    <t>LL International</t>
  </si>
  <si>
    <t>G#</t>
  </si>
  <si>
    <t>Division</t>
  </si>
  <si>
    <t>Level</t>
  </si>
  <si>
    <t>Tournament</t>
  </si>
  <si>
    <t>Championship</t>
  </si>
  <si>
    <t>D27 DA</t>
  </si>
  <si>
    <t>Baseball</t>
  </si>
  <si>
    <t>D27</t>
  </si>
  <si>
    <t>Manager</t>
  </si>
  <si>
    <t>Email Address</t>
  </si>
  <si>
    <t>Cell Phone</t>
  </si>
  <si>
    <t>ABBV</t>
  </si>
  <si>
    <t>Random #</t>
  </si>
  <si>
    <t>Order</t>
  </si>
  <si>
    <t>GC Name</t>
  </si>
  <si>
    <t>CV</t>
  </si>
  <si>
    <t>GV-King Road</t>
  </si>
  <si>
    <t>GC Abbrev</t>
  </si>
  <si>
    <t>Umpire(s)</t>
  </si>
  <si>
    <t>SUM</t>
  </si>
  <si>
    <t>Host/Park/Field</t>
  </si>
  <si>
    <t>Umpire (bases)</t>
  </si>
  <si>
    <t>Chester Valley</t>
  </si>
  <si>
    <t>Great Valley</t>
  </si>
  <si>
    <t>-D27-BBJR</t>
  </si>
  <si>
    <t>GV</t>
  </si>
  <si>
    <t>CV-Monument Park</t>
  </si>
  <si>
    <t>Assigned by D27 Scott Bennett</t>
  </si>
  <si>
    <t>BB-JR</t>
  </si>
  <si>
    <t>Junior Baseball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</si>
</sst>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"/>
    <numFmt numFmtId="165" formatCode="dd\-mmm\-yy"/>
    <numFmt numFmtId="166" formatCode="mmm\-dd\-yyyy"/>
  </numFmts>
  <fonts count="11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u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</font>
    <font>
      <sz val="24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7" fillId="0" borderId="0" applyNumberFormat="0" applyFill="0" applyBorder="0" applyAlignment="0" applyProtection="0"/>
  </cellStyleXfs>
  <cellXfs count="65">
    <xf numFmtId="0" fontId="0" fillId="0" borderId="0" xfId="0"/>
    <xf numFmtId="0" fontId="3" fillId="2" borderId="5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4" fillId="0" borderId="0" xfId="0" applyFont="1"/>
    <xf numFmtId="0" fontId="4" fillId="4" borderId="5" xfId="1" applyFont="1" applyFill="1" applyBorder="1" applyAlignment="1">
      <alignment horizontal="center" vertical="center"/>
    </xf>
    <xf numFmtId="164" fontId="4" fillId="4" borderId="5" xfId="1" applyNumberFormat="1" applyFont="1" applyFill="1" applyBorder="1" applyAlignment="1">
      <alignment horizontal="center" vertical="center"/>
    </xf>
    <xf numFmtId="166" fontId="4" fillId="4" borderId="5" xfId="1" applyNumberFormat="1" applyFont="1" applyFill="1" applyBorder="1" applyAlignment="1">
      <alignment horizontal="center" vertical="center"/>
    </xf>
    <xf numFmtId="18" fontId="4" fillId="5" borderId="5" xfId="1" applyNumberFormat="1" applyFont="1" applyFill="1" applyBorder="1" applyAlignment="1">
      <alignment horizontal="center" vertical="center"/>
    </xf>
    <xf numFmtId="18" fontId="4" fillId="4" borderId="5" xfId="1" applyNumberFormat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vertical="center"/>
    </xf>
    <xf numFmtId="0" fontId="4" fillId="0" borderId="5" xfId="1" applyFont="1" applyBorder="1" applyAlignment="1">
      <alignment horizontal="center" vertical="center"/>
    </xf>
    <xf numFmtId="0" fontId="5" fillId="6" borderId="5" xfId="1" applyFont="1" applyFill="1" applyBorder="1" applyAlignment="1">
      <alignment horizontal="center" vertical="center"/>
    </xf>
    <xf numFmtId="0" fontId="6" fillId="0" borderId="0" xfId="0" applyFont="1"/>
    <xf numFmtId="0" fontId="4" fillId="0" borderId="5" xfId="1" applyFont="1" applyBorder="1" applyAlignment="1">
      <alignment vertical="center"/>
    </xf>
    <xf numFmtId="164" fontId="4" fillId="7" borderId="5" xfId="1" applyNumberFormat="1" applyFont="1" applyFill="1" applyBorder="1" applyAlignment="1">
      <alignment horizontal="center" vertical="center"/>
    </xf>
    <xf numFmtId="166" fontId="4" fillId="7" borderId="5" xfId="1" applyNumberFormat="1" applyFont="1" applyFill="1" applyBorder="1" applyAlignment="1">
      <alignment horizontal="center" vertical="center"/>
    </xf>
    <xf numFmtId="18" fontId="4" fillId="7" borderId="5" xfId="1" applyNumberFormat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4" fillId="5" borderId="5" xfId="1" applyFont="1" applyFill="1" applyBorder="1" applyAlignment="1">
      <alignment horizontal="center" vertical="center"/>
    </xf>
    <xf numFmtId="0" fontId="4" fillId="5" borderId="5" xfId="1" applyFont="1" applyFill="1" applyBorder="1" applyAlignment="1">
      <alignment horizontal="left" vertical="center"/>
    </xf>
    <xf numFmtId="0" fontId="4" fillId="5" borderId="5" xfId="1" applyFont="1" applyFill="1" applyBorder="1" applyAlignment="1">
      <alignment vertical="center"/>
    </xf>
    <xf numFmtId="0" fontId="4" fillId="0" borderId="5" xfId="1" applyFont="1" applyBorder="1" applyAlignment="1">
      <alignment horizontal="left" vertical="center"/>
    </xf>
    <xf numFmtId="2" fontId="4" fillId="0" borderId="5" xfId="1" applyNumberFormat="1" applyFont="1" applyBorder="1" applyAlignment="1">
      <alignment horizontal="center" vertical="center"/>
    </xf>
    <xf numFmtId="0" fontId="4" fillId="4" borderId="5" xfId="1" applyFont="1" applyFill="1" applyBorder="1" applyAlignment="1">
      <alignment vertical="center"/>
    </xf>
    <xf numFmtId="0" fontId="5" fillId="0" borderId="5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5" xfId="1" quotePrefix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1" quotePrefix="1" applyFont="1" applyAlignment="1">
      <alignment horizontal="center" vertical="center"/>
    </xf>
    <xf numFmtId="0" fontId="4" fillId="0" borderId="0" xfId="1" applyFont="1" applyAlignment="1">
      <alignment vertical="center"/>
    </xf>
    <xf numFmtId="165" fontId="4" fillId="0" borderId="0" xfId="1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1" fontId="4" fillId="0" borderId="0" xfId="1" applyNumberFormat="1" applyFont="1" applyAlignment="1">
      <alignment vertical="center"/>
    </xf>
    <xf numFmtId="0" fontId="4" fillId="0" borderId="0" xfId="0" applyFont="1" applyAlignment="1">
      <alignment vertical="center"/>
    </xf>
    <xf numFmtId="164" fontId="4" fillId="0" borderId="5" xfId="1" applyNumberFormat="1" applyFont="1" applyBorder="1" applyAlignment="1">
      <alignment horizontal="center" vertical="center"/>
    </xf>
    <xf numFmtId="165" fontId="4" fillId="0" borderId="5" xfId="1" applyNumberFormat="1" applyFont="1" applyBorder="1" applyAlignment="1">
      <alignment horizontal="center" vertical="center"/>
    </xf>
    <xf numFmtId="18" fontId="4" fillId="0" borderId="5" xfId="1" applyNumberFormat="1" applyFont="1" applyBorder="1" applyAlignment="1">
      <alignment horizontal="center" vertical="center"/>
    </xf>
    <xf numFmtId="0" fontId="4" fillId="8" borderId="5" xfId="1" applyFont="1" applyFill="1" applyBorder="1" applyAlignment="1">
      <alignment vertical="center"/>
    </xf>
    <xf numFmtId="0" fontId="4" fillId="8" borderId="5" xfId="1" applyFont="1" applyFill="1" applyBorder="1" applyAlignment="1">
      <alignment horizontal="left" vertical="center"/>
    </xf>
    <xf numFmtId="0" fontId="4" fillId="0" borderId="0" xfId="0" applyFont="1" applyAlignment="1">
      <alignment horizontal="right"/>
    </xf>
    <xf numFmtId="0" fontId="4" fillId="9" borderId="5" xfId="0" applyFont="1" applyFill="1" applyBorder="1" applyAlignment="1">
      <alignment horizontal="center" vertical="center"/>
    </xf>
    <xf numFmtId="16" fontId="4" fillId="9" borderId="5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65" fontId="4" fillId="7" borderId="5" xfId="1" applyNumberFormat="1" applyFont="1" applyFill="1" applyBorder="1" applyAlignment="1">
      <alignment horizontal="center" vertical="center"/>
    </xf>
    <xf numFmtId="0" fontId="4" fillId="10" borderId="5" xfId="1" applyFont="1" applyFill="1" applyBorder="1" applyAlignment="1">
      <alignment vertical="center"/>
    </xf>
    <xf numFmtId="0" fontId="8" fillId="8" borderId="5" xfId="2" applyFont="1" applyFill="1" applyBorder="1" applyAlignment="1">
      <alignment vertical="center"/>
    </xf>
    <xf numFmtId="0" fontId="4" fillId="8" borderId="5" xfId="1" applyFont="1" applyFill="1" applyBorder="1" applyAlignment="1">
      <alignment horizontal="center" vertical="center"/>
    </xf>
    <xf numFmtId="2" fontId="4" fillId="8" borderId="5" xfId="1" applyNumberFormat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center" vertical="center"/>
    </xf>
    <xf numFmtId="0" fontId="4" fillId="0" borderId="2" xfId="0" quotePrefix="1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3" xfId="0" quotePrefix="1" applyFont="1" applyBorder="1" applyAlignment="1">
      <alignment horizontal="right" vertical="center" wrapText="1"/>
    </xf>
    <xf numFmtId="0" fontId="4" fillId="0" borderId="4" xfId="0" quotePrefix="1" applyFont="1" applyBorder="1" applyAlignment="1">
      <alignment horizontal="right" vertical="center" wrapText="1"/>
    </xf>
    <xf numFmtId="0" fontId="10" fillId="9" borderId="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2"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32"/>
  <sheetViews>
    <sheetView zoomScale="90" zoomScaleNormal="9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G8" sqref="G8"/>
    </sheetView>
  </sheetViews>
  <sheetFormatPr defaultColWidth="9.1328125" defaultRowHeight="14.25" x14ac:dyDescent="0.35"/>
  <cols>
    <col min="1" max="1" width="5.86328125" style="25" customWidth="1"/>
    <col min="2" max="2" width="6.73046875" style="25" customWidth="1"/>
    <col min="3" max="3" width="10.73046875" style="30" customWidth="1"/>
    <col min="4" max="4" width="9.1328125" style="25"/>
    <col min="5" max="5" width="2.73046875" style="29" customWidth="1"/>
    <col min="6" max="6" width="18.73046875" style="29" customWidth="1"/>
    <col min="7" max="7" width="4.73046875" style="25" customWidth="1"/>
    <col min="8" max="8" width="4.73046875" style="29" customWidth="1"/>
    <col min="9" max="9" width="18.73046875" style="29" customWidth="1"/>
    <col min="10" max="11" width="4.73046875" style="29" customWidth="1"/>
    <col min="12" max="12" width="18.59765625" style="29" bestFit="1" customWidth="1"/>
    <col min="13" max="13" width="28.265625" style="29" bestFit="1" customWidth="1"/>
    <col min="14" max="14" width="21.86328125" style="29" hidden="1" customWidth="1"/>
    <col min="15" max="15" width="2.73046875" style="29" hidden="1" customWidth="1"/>
    <col min="16" max="16" width="5.265625" style="29" hidden="1" customWidth="1"/>
    <col min="17" max="17" width="2.73046875" style="29" hidden="1" customWidth="1"/>
    <col min="18" max="18" width="14.73046875" style="25" hidden="1" customWidth="1"/>
    <col min="19" max="20" width="2.73046875" style="25" hidden="1" customWidth="1"/>
    <col min="21" max="21" width="14.73046875" style="25" hidden="1" customWidth="1"/>
    <col min="22" max="22" width="6.59765625" style="29" customWidth="1"/>
    <col min="23" max="23" width="4.73046875" style="25" customWidth="1"/>
    <col min="24" max="24" width="16.73046875" style="29" customWidth="1"/>
    <col min="25" max="25" width="16.73046875" style="25" hidden="1" customWidth="1"/>
    <col min="26" max="26" width="18.59765625" style="29" bestFit="1" customWidth="1"/>
    <col min="27" max="27" width="5" style="29" bestFit="1" customWidth="1"/>
    <col min="28" max="16384" width="9.1328125" style="36"/>
  </cols>
  <sheetData>
    <row r="1" spans="1:28" s="31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10"/>
      <c r="F1" s="53" t="s">
        <v>11</v>
      </c>
      <c r="G1" s="53"/>
      <c r="H1" s="53"/>
      <c r="I1" s="53"/>
      <c r="J1" s="53"/>
      <c r="K1" s="13"/>
      <c r="L1" s="1" t="s">
        <v>38</v>
      </c>
      <c r="M1" s="1" t="s">
        <v>36</v>
      </c>
      <c r="N1" s="1" t="s">
        <v>39</v>
      </c>
      <c r="O1" s="33"/>
      <c r="P1" s="1" t="s">
        <v>37</v>
      </c>
      <c r="Q1" s="33"/>
      <c r="R1" s="53" t="s">
        <v>4</v>
      </c>
      <c r="S1" s="53"/>
      <c r="T1" s="53"/>
      <c r="U1" s="53"/>
      <c r="V1" s="29"/>
      <c r="W1" s="17" t="s">
        <v>12</v>
      </c>
      <c r="X1" s="17" t="s">
        <v>13</v>
      </c>
      <c r="Y1" s="17" t="s">
        <v>32</v>
      </c>
      <c r="Z1" s="17" t="s">
        <v>14</v>
      </c>
      <c r="AA1" s="17" t="s">
        <v>5</v>
      </c>
      <c r="AB1" s="29"/>
    </row>
    <row r="2" spans="1:28" x14ac:dyDescent="0.35">
      <c r="A2" s="10">
        <v>1</v>
      </c>
      <c r="B2" s="37">
        <f>+C2</f>
        <v>45828</v>
      </c>
      <c r="C2" s="38">
        <v>45828</v>
      </c>
      <c r="D2" s="39">
        <v>0.72916666666666663</v>
      </c>
      <c r="E2" s="10"/>
      <c r="F2" s="9" t="str">
        <f>+R2</f>
        <v>Chester Valley</v>
      </c>
      <c r="G2" s="10">
        <v>15</v>
      </c>
      <c r="H2" s="10" t="s">
        <v>6</v>
      </c>
      <c r="I2" s="9" t="str">
        <f>+U2</f>
        <v>Great Valley</v>
      </c>
      <c r="J2" s="10">
        <v>3</v>
      </c>
      <c r="K2" s="13"/>
      <c r="L2" s="13" t="s">
        <v>34</v>
      </c>
      <c r="M2" s="34" t="s">
        <v>45</v>
      </c>
      <c r="N2" s="13"/>
      <c r="O2" s="35"/>
      <c r="P2" s="10">
        <f>+G2+J2</f>
        <v>18</v>
      </c>
      <c r="Q2" s="35"/>
      <c r="R2" s="10" t="str">
        <f>+X2</f>
        <v>Chester Valley</v>
      </c>
      <c r="S2" s="10"/>
      <c r="T2" s="10"/>
      <c r="U2" s="10" t="str">
        <f>+X3</f>
        <v>Great Valley</v>
      </c>
      <c r="V2" s="35"/>
      <c r="W2" s="10">
        <v>1</v>
      </c>
      <c r="X2" s="40" t="str">
        <f>VLOOKUP($W2,'D27'!$L$9:$Q$10,2,FALSE)</f>
        <v>Chester Valley</v>
      </c>
      <c r="Y2" s="51" t="str">
        <f>VLOOKUP($W2,'D27'!$L$9:$Q$10,3,FALSE)</f>
        <v>CV-D27-BBJR</v>
      </c>
      <c r="Z2" s="41" t="str">
        <f>VLOOKUP($W2,'D27'!$L$9:$Q$10,6,FALSE)</f>
        <v>CV-Monument Park</v>
      </c>
      <c r="AA2" s="10">
        <f>IF(Z2="","",COUNTIF($L$2:$L$21,$Z2))</f>
        <v>2</v>
      </c>
    </row>
    <row r="3" spans="1:28" x14ac:dyDescent="0.35">
      <c r="A3" s="10"/>
      <c r="B3" s="37"/>
      <c r="C3" s="38"/>
      <c r="D3" s="39"/>
      <c r="E3" s="10"/>
      <c r="F3" s="13"/>
      <c r="G3" s="10"/>
      <c r="H3" s="10"/>
      <c r="I3" s="13"/>
      <c r="J3" s="10"/>
      <c r="K3" s="13"/>
      <c r="L3" s="13"/>
      <c r="M3" s="13"/>
      <c r="N3" s="13"/>
      <c r="O3" s="35"/>
      <c r="P3" s="10"/>
      <c r="Q3" s="35"/>
      <c r="R3" s="10"/>
      <c r="S3" s="10"/>
      <c r="T3" s="10"/>
      <c r="U3" s="10"/>
      <c r="V3" s="35"/>
      <c r="W3" s="10">
        <v>2</v>
      </c>
      <c r="X3" s="40" t="str">
        <f>VLOOKUP($W3,'D27'!$L$9:$Q$10,2,FALSE)</f>
        <v>Great Valley</v>
      </c>
      <c r="Y3" s="51" t="str">
        <f>VLOOKUP($W3,'D27'!$L$9:$Q$10,3,FALSE)</f>
        <v>GV-D27-BBJR</v>
      </c>
      <c r="Z3" s="41" t="str">
        <f>VLOOKUP($W3,'D27'!$L$9:$Q$10,6,FALSE)</f>
        <v>GV-King Road</v>
      </c>
      <c r="AA3" s="10">
        <f>IF(Z3="","",COUNTIF($L$2:$L$21,$Z3))</f>
        <v>1</v>
      </c>
    </row>
    <row r="4" spans="1:28" x14ac:dyDescent="0.35">
      <c r="A4" s="10">
        <v>2</v>
      </c>
      <c r="B4" s="14">
        <f>+C4</f>
        <v>45831</v>
      </c>
      <c r="C4" s="48">
        <v>45831</v>
      </c>
      <c r="D4" s="16">
        <v>0.72916666666666663</v>
      </c>
      <c r="E4" s="10"/>
      <c r="F4" s="13" t="str" cm="1">
        <f t="array" aca="1" ref="F4" ca="1">IF((INDIRECT("SCHEDULE!P"&amp;S4))&gt;0,(IF((INDIRECT("SCHEDULE!G"&amp;S4))&gt;(INDIRECT("SCHEDULE!J"&amp;S4)),(INDIRECT("SCHEDULE!F"&amp;S4)),(INDIRECT("SCHEDULE!I"&amp;S4)))),R4)</f>
        <v>Chester Valley</v>
      </c>
      <c r="G4" s="10">
        <v>6</v>
      </c>
      <c r="H4" s="10" t="s">
        <v>6</v>
      </c>
      <c r="I4" s="13" t="str" cm="1">
        <f t="array" aca="1" ref="I4" ca="1">IF((INDIRECT("SCHEDULE!P"&amp;T4))&gt;0,(IF((INDIRECT("SCHEDULE!G"&amp;T4))&lt;(INDIRECT("SCHEDULE!J"&amp;T4)),(INDIRECT("SCHEDULE!F"&amp;T4)),(INDIRECT("SCHEDULE!I"&amp;T4)))),U4)</f>
        <v>Great Valley</v>
      </c>
      <c r="J4" s="10">
        <v>9</v>
      </c>
      <c r="K4" s="13"/>
      <c r="L4" s="49" t="s">
        <v>44</v>
      </c>
      <c r="M4" s="34" t="s">
        <v>45</v>
      </c>
      <c r="N4" s="13"/>
      <c r="O4" s="35"/>
      <c r="P4" s="10">
        <f t="shared" ref="P4:P6" si="0">+G4+J4</f>
        <v>15</v>
      </c>
      <c r="Q4" s="35"/>
      <c r="R4" s="10" t="s">
        <v>8</v>
      </c>
      <c r="S4" s="10">
        <v>2</v>
      </c>
      <c r="T4" s="10">
        <v>2</v>
      </c>
      <c r="U4" s="10" t="s">
        <v>7</v>
      </c>
      <c r="V4" s="35"/>
      <c r="W4" s="10"/>
      <c r="X4" s="21"/>
      <c r="Y4" s="10"/>
      <c r="Z4" s="21"/>
      <c r="AA4" s="10" t="str">
        <f>IF(Z4="","",COUNTIF(#REF!,$Z4))</f>
        <v/>
      </c>
    </row>
    <row r="5" spans="1:28" x14ac:dyDescent="0.35">
      <c r="A5" s="10"/>
      <c r="B5" s="37"/>
      <c r="C5" s="38"/>
      <c r="D5" s="39"/>
      <c r="E5" s="10"/>
      <c r="F5" s="13"/>
      <c r="G5" s="10"/>
      <c r="H5" s="10"/>
      <c r="I5" s="13"/>
      <c r="J5" s="10"/>
      <c r="K5" s="13"/>
      <c r="L5" s="13"/>
      <c r="M5" s="13"/>
      <c r="N5" s="13"/>
      <c r="O5" s="35"/>
      <c r="P5" s="10"/>
      <c r="Q5" s="35"/>
      <c r="R5" s="10"/>
      <c r="S5" s="10"/>
      <c r="T5" s="10"/>
      <c r="U5" s="10"/>
      <c r="V5" s="35"/>
      <c r="W5" s="10"/>
      <c r="X5" s="21"/>
      <c r="Y5" s="10"/>
      <c r="Z5" s="21"/>
      <c r="AA5" s="10" t="str">
        <f>IF(Z5="","",COUNTIF(#REF!,$Z5))</f>
        <v/>
      </c>
    </row>
    <row r="6" spans="1:28" x14ac:dyDescent="0.35">
      <c r="A6" s="10">
        <v>3</v>
      </c>
      <c r="B6" s="14">
        <f>+C6</f>
        <v>45832</v>
      </c>
      <c r="C6" s="48">
        <v>45832</v>
      </c>
      <c r="D6" s="16">
        <v>0.72916666666666663</v>
      </c>
      <c r="E6" s="10"/>
      <c r="F6" s="13" t="str" cm="1">
        <f t="array" aca="1" ref="F6" ca="1">IF((INDIRECT("SCHEDULE!P"&amp;S6))&gt;0,(IF((INDIRECT("SCHEDULE!G"&amp;S6))&gt;(INDIRECT("SCHEDULE!J"&amp;S6)),(INDIRECT("SCHEDULE!F"&amp;S6)),(INDIRECT("SCHEDULE!I"&amp;S6)))),R6)</f>
        <v>Great Valley</v>
      </c>
      <c r="G6" s="10">
        <v>2</v>
      </c>
      <c r="H6" s="10" t="s">
        <v>6</v>
      </c>
      <c r="I6" s="13" t="str" cm="1">
        <f t="array" aca="1" ref="I6" ca="1">IF((INDIRECT("SCHEDULE!P"&amp;T6))&gt;0,(IF((INDIRECT("SCHEDULE!G"&amp;T6))&lt;(INDIRECT("SCHEDULE!J"&amp;T6)),(INDIRECT("SCHEDULE!F"&amp;T6)),"Not Necessary")),U6)</f>
        <v>Chester Valley</v>
      </c>
      <c r="J6" s="10">
        <v>14</v>
      </c>
      <c r="K6" s="13"/>
      <c r="L6" s="49" t="s">
        <v>44</v>
      </c>
      <c r="M6" s="34" t="s">
        <v>45</v>
      </c>
      <c r="N6" s="13"/>
      <c r="P6" s="10">
        <f t="shared" si="0"/>
        <v>16</v>
      </c>
      <c r="R6" s="10" t="s">
        <v>9</v>
      </c>
      <c r="S6" s="10">
        <v>4</v>
      </c>
      <c r="T6" s="10">
        <v>4</v>
      </c>
      <c r="U6" s="10" t="s">
        <v>16</v>
      </c>
      <c r="V6" s="35"/>
      <c r="W6" s="10"/>
      <c r="X6" s="21"/>
      <c r="Y6" s="10"/>
      <c r="Z6" s="21"/>
      <c r="AA6" s="10" t="str">
        <f>IF(Z6="","",COUNTIF(#REF!,$Z6))</f>
        <v/>
      </c>
    </row>
    <row r="7" spans="1:28" x14ac:dyDescent="0.35">
      <c r="A7" s="10"/>
      <c r="B7" s="10"/>
      <c r="C7" s="38"/>
      <c r="D7" s="39"/>
      <c r="E7" s="10"/>
      <c r="F7" s="13"/>
      <c r="G7" s="10"/>
      <c r="H7" s="10"/>
      <c r="I7" s="13"/>
      <c r="J7" s="10"/>
      <c r="K7" s="13"/>
      <c r="L7" s="13"/>
      <c r="M7" s="13"/>
      <c r="N7" s="13"/>
      <c r="P7" s="10"/>
      <c r="R7" s="10"/>
      <c r="S7" s="10"/>
      <c r="T7" s="10"/>
      <c r="U7" s="10"/>
      <c r="V7" s="35"/>
      <c r="W7" s="10"/>
      <c r="X7" s="21" t="s">
        <v>15</v>
      </c>
      <c r="Y7" s="10"/>
      <c r="Z7" s="21"/>
      <c r="AA7" s="10">
        <f>SUM(AA2:AA6)</f>
        <v>3</v>
      </c>
    </row>
    <row r="8" spans="1:28" x14ac:dyDescent="0.35">
      <c r="A8" s="54" t="s">
        <v>10</v>
      </c>
      <c r="B8" s="54"/>
      <c r="C8" s="6"/>
      <c r="D8" s="8"/>
      <c r="E8" s="10"/>
      <c r="F8" s="32" t="str" cm="1">
        <f t="array" aca="1" ref="F8" ca="1">IF(INDIRECT("SCHEDULE!P"&amp;S8)&gt;0,IF(INDIRECT("SCHEDULE!G"&amp;S8)&gt;INDIRECT("SCHEDULE!J"&amp;S8),INDIRECT("SCHEDULE!F"&amp;S8),INDIRECT("SCHEDULE!I"&amp;S8)),IF(INDIRECT("SCHEDULE!P"&amp;T8)&gt;0,IF(INDIRECT("SCHEDULE!G"&amp;T8)&gt;INDIRECT("SCHEDULE!J"&amp;T8),INDIRECT("SCHEDULE!F"&amp;T8),R8),R8))</f>
        <v>Chester Valley</v>
      </c>
      <c r="G8" s="10"/>
      <c r="H8" s="10"/>
      <c r="I8" s="13"/>
      <c r="J8" s="10"/>
      <c r="K8" s="13"/>
      <c r="L8" s="13"/>
      <c r="M8" s="13"/>
      <c r="N8" s="13"/>
      <c r="P8" s="10"/>
      <c r="R8" s="10" t="s">
        <v>10</v>
      </c>
      <c r="S8" s="10">
        <v>6</v>
      </c>
      <c r="T8" s="10">
        <v>4</v>
      </c>
      <c r="U8" s="10"/>
      <c r="V8" s="35"/>
      <c r="X8" s="25"/>
      <c r="Z8" s="25"/>
      <c r="AA8" s="25"/>
    </row>
    <row r="9" spans="1:28" x14ac:dyDescent="0.35">
      <c r="C9" s="25"/>
      <c r="E9" s="25"/>
      <c r="F9" s="25"/>
      <c r="H9" s="25"/>
      <c r="I9" s="25"/>
      <c r="J9" s="25"/>
      <c r="K9" s="25"/>
      <c r="L9" s="25"/>
      <c r="M9" s="25"/>
      <c r="N9" s="25"/>
      <c r="V9" s="35"/>
      <c r="X9" s="25"/>
      <c r="Z9" s="25"/>
      <c r="AA9" s="25"/>
      <c r="AB9" s="25"/>
    </row>
    <row r="10" spans="1:28" s="29" customFormat="1" x14ac:dyDescent="0.3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R10" s="25"/>
      <c r="S10" s="25"/>
      <c r="T10" s="25"/>
      <c r="U10" s="25"/>
      <c r="V10" s="35"/>
      <c r="W10" s="25"/>
      <c r="X10" s="25"/>
      <c r="Y10" s="25"/>
      <c r="Z10" s="25"/>
      <c r="AA10" s="25"/>
      <c r="AB10" s="25"/>
    </row>
    <row r="11" spans="1:28" s="29" customFormat="1" x14ac:dyDescent="0.3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R11" s="25"/>
      <c r="S11" s="25"/>
      <c r="T11" s="25"/>
      <c r="U11" s="25"/>
      <c r="V11" s="35"/>
      <c r="W11" s="25"/>
      <c r="X11" s="25"/>
      <c r="Y11" s="25"/>
      <c r="Z11" s="25"/>
      <c r="AA11" s="25"/>
      <c r="AB11" s="25"/>
    </row>
    <row r="12" spans="1:28" x14ac:dyDescent="0.35">
      <c r="C12" s="25"/>
      <c r="E12" s="25"/>
      <c r="F12" s="25"/>
      <c r="H12" s="25"/>
      <c r="I12" s="25"/>
      <c r="J12" s="25"/>
      <c r="K12" s="25"/>
      <c r="L12" s="25"/>
      <c r="M12" s="25"/>
      <c r="N12" s="25"/>
      <c r="V12" s="35"/>
      <c r="X12" s="25"/>
      <c r="Z12" s="25"/>
      <c r="AA12" s="25"/>
      <c r="AB12" s="25"/>
    </row>
    <row r="13" spans="1:28" x14ac:dyDescent="0.35">
      <c r="C13" s="25"/>
      <c r="E13" s="25"/>
      <c r="F13" s="25"/>
      <c r="H13" s="25"/>
      <c r="I13" s="25"/>
      <c r="J13" s="25"/>
      <c r="K13" s="25"/>
      <c r="L13" s="25"/>
      <c r="M13" s="25"/>
      <c r="N13" s="25"/>
      <c r="V13" s="35"/>
      <c r="X13" s="25"/>
      <c r="Z13" s="25"/>
      <c r="AA13" s="25"/>
      <c r="AB13" s="25"/>
    </row>
    <row r="14" spans="1:28" x14ac:dyDescent="0.35">
      <c r="C14" s="25"/>
      <c r="E14" s="25"/>
      <c r="F14" s="25"/>
      <c r="H14" s="25"/>
      <c r="I14" s="25"/>
      <c r="J14" s="25"/>
      <c r="K14" s="25"/>
      <c r="L14" s="25"/>
      <c r="M14" s="25"/>
      <c r="N14" s="25"/>
      <c r="V14" s="35"/>
      <c r="X14" s="25"/>
      <c r="Z14" s="25"/>
      <c r="AA14" s="25"/>
      <c r="AB14" s="25"/>
    </row>
    <row r="15" spans="1:28" x14ac:dyDescent="0.35">
      <c r="C15" s="25"/>
      <c r="E15" s="25"/>
      <c r="F15" s="25"/>
      <c r="H15" s="25"/>
      <c r="I15" s="25"/>
      <c r="J15" s="25"/>
      <c r="K15" s="25"/>
      <c r="L15" s="25"/>
      <c r="M15" s="25"/>
      <c r="N15" s="25"/>
      <c r="V15" s="35"/>
      <c r="X15" s="25"/>
      <c r="Z15" s="25"/>
      <c r="AA15" s="25"/>
      <c r="AB15" s="25"/>
    </row>
    <row r="16" spans="1:28" x14ac:dyDescent="0.35">
      <c r="C16" s="25"/>
      <c r="E16" s="25"/>
      <c r="F16" s="25"/>
      <c r="H16" s="25"/>
      <c r="I16" s="25"/>
      <c r="J16" s="25"/>
      <c r="K16" s="25"/>
      <c r="L16" s="25"/>
      <c r="M16" s="25"/>
      <c r="N16" s="25"/>
      <c r="V16" s="35"/>
      <c r="X16" s="25"/>
      <c r="Z16" s="25"/>
      <c r="AA16" s="25"/>
      <c r="AB16" s="25"/>
    </row>
    <row r="17" spans="10:28" x14ac:dyDescent="0.35">
      <c r="J17" s="25"/>
      <c r="K17" s="25"/>
      <c r="L17" s="25"/>
      <c r="V17" s="35"/>
      <c r="X17" s="25"/>
      <c r="Z17" s="25"/>
      <c r="AA17" s="25"/>
      <c r="AB17" s="25"/>
    </row>
    <row r="18" spans="10:28" x14ac:dyDescent="0.35">
      <c r="J18" s="25"/>
      <c r="K18" s="25"/>
      <c r="L18" s="25"/>
      <c r="V18" s="35"/>
    </row>
    <row r="19" spans="10:28" x14ac:dyDescent="0.35">
      <c r="J19" s="25"/>
      <c r="K19" s="25"/>
      <c r="L19" s="25"/>
      <c r="V19" s="35"/>
    </row>
    <row r="20" spans="10:28" x14ac:dyDescent="0.35">
      <c r="J20" s="25"/>
      <c r="K20" s="25"/>
      <c r="L20" s="25"/>
      <c r="V20" s="35"/>
    </row>
    <row r="21" spans="10:28" x14ac:dyDescent="0.35">
      <c r="J21" s="25"/>
      <c r="K21" s="25"/>
      <c r="L21" s="25"/>
      <c r="V21" s="35"/>
    </row>
    <row r="22" spans="10:28" x14ac:dyDescent="0.35">
      <c r="J22" s="25"/>
      <c r="K22" s="25"/>
      <c r="L22" s="25"/>
      <c r="V22" s="35"/>
    </row>
    <row r="23" spans="10:28" x14ac:dyDescent="0.35">
      <c r="J23" s="25"/>
      <c r="K23" s="25"/>
      <c r="L23" s="25"/>
      <c r="V23" s="35"/>
    </row>
    <row r="24" spans="10:28" x14ac:dyDescent="0.35">
      <c r="J24" s="25"/>
      <c r="K24" s="25"/>
      <c r="L24" s="25"/>
      <c r="V24" s="25"/>
    </row>
    <row r="25" spans="10:28" x14ac:dyDescent="0.35">
      <c r="J25" s="25"/>
      <c r="K25" s="25"/>
      <c r="L25" s="25"/>
      <c r="V25" s="25"/>
    </row>
    <row r="26" spans="10:28" x14ac:dyDescent="0.35">
      <c r="J26" s="25"/>
      <c r="K26" s="25"/>
      <c r="L26" s="25"/>
      <c r="V26" s="25"/>
    </row>
    <row r="27" spans="10:28" x14ac:dyDescent="0.35">
      <c r="J27" s="25"/>
      <c r="K27" s="25"/>
      <c r="L27" s="25"/>
      <c r="V27" s="25"/>
    </row>
    <row r="28" spans="10:28" x14ac:dyDescent="0.35">
      <c r="J28" s="25"/>
      <c r="K28" s="25"/>
      <c r="L28" s="25"/>
      <c r="V28" s="25"/>
    </row>
    <row r="29" spans="10:28" x14ac:dyDescent="0.35">
      <c r="J29" s="25"/>
      <c r="K29" s="25"/>
      <c r="L29" s="25"/>
      <c r="V29" s="25"/>
    </row>
    <row r="30" spans="10:28" x14ac:dyDescent="0.35">
      <c r="J30" s="25"/>
      <c r="K30" s="25"/>
      <c r="L30" s="25"/>
      <c r="V30" s="25"/>
    </row>
    <row r="31" spans="10:28" x14ac:dyDescent="0.35">
      <c r="J31" s="25"/>
      <c r="K31" s="25"/>
      <c r="L31" s="25"/>
    </row>
    <row r="32" spans="10:28" x14ac:dyDescent="0.35">
      <c r="J32" s="25"/>
      <c r="K32" s="25"/>
      <c r="L32" s="25"/>
    </row>
  </sheetData>
  <mergeCells count="3">
    <mergeCell ref="F1:J1"/>
    <mergeCell ref="R1:U1"/>
    <mergeCell ref="A8:B8"/>
  </mergeCells>
  <phoneticPr fontId="1" type="noConversion"/>
  <printOptions horizontalCentered="1"/>
  <pageMargins left="0.25" right="0.25" top="0.5" bottom="0.5" header="0.25" footer="0.25"/>
  <pageSetup scale="72" orientation="landscape" r:id="rId1"/>
  <headerFooter alignWithMargins="0">
    <oddHeader>&amp;F</oddHeader>
    <oddFooter>&amp;L&amp;A&amp;C&amp;D&amp;RPage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E17"/>
  <sheetViews>
    <sheetView tabSelected="1" workbookViewId="0">
      <selection activeCell="D12" sqref="D12"/>
    </sheetView>
  </sheetViews>
  <sheetFormatPr defaultColWidth="9.1328125" defaultRowHeight="15" customHeight="1" x14ac:dyDescent="0.45"/>
  <cols>
    <col min="1" max="5" width="25.73046875" style="42" customWidth="1"/>
    <col min="6" max="6" width="11.73046875" style="42" customWidth="1"/>
    <col min="7" max="8" width="12.73046875" style="42" customWidth="1"/>
    <col min="9" max="16384" width="9.1328125" style="42"/>
  </cols>
  <sheetData>
    <row r="2" spans="1:5" ht="15" customHeight="1" x14ac:dyDescent="0.45">
      <c r="D2" s="43" t="s">
        <v>17</v>
      </c>
      <c r="E2" s="60" t="s">
        <v>46</v>
      </c>
    </row>
    <row r="3" spans="1:5" ht="15" customHeight="1" x14ac:dyDescent="0.45">
      <c r="D3" s="44" t="s">
        <v>47</v>
      </c>
      <c r="E3" s="61"/>
    </row>
    <row r="4" spans="1:5" ht="15" customHeight="1" x14ac:dyDescent="0.45">
      <c r="A4" s="45" t="str">
        <f>IF((SCHEDULE!$P2)&lt;1,SCHEDULE!$F2,_xlfn.CONCAT(SCHEDULE!$F2," - ", SCHEDULE!$G2))</f>
        <v>Chester Valley - 15</v>
      </c>
    </row>
    <row r="5" spans="1:5" ht="15" customHeight="1" x14ac:dyDescent="0.45">
      <c r="A5" s="55" t="str">
        <f>_xlfn.CONCAT("(",SCHEDULE!$A2,") - ",TEXT(SCHEDULE!$C2,"DDD M/D")," ",TEXT(SCHEDULE!$D2,"H:MM AM/PM"),"
 (",SCHEDULE!$L2,")")</f>
        <v>(1) - Fri 6/20 5:30 PM
 (GV-King Road)</v>
      </c>
      <c r="B5" s="45" t="str">
        <f ca="1">IF((SCHEDULE!$P4)&lt;1,SCHEDULE!$F4,_xlfn.CONCAT(SCHEDULE!$F4," - ", SCHEDULE!$G4))</f>
        <v>Chester Valley - 6</v>
      </c>
    </row>
    <row r="6" spans="1:5" ht="15" customHeight="1" x14ac:dyDescent="0.45">
      <c r="A6" s="57"/>
      <c r="B6" s="55" t="str">
        <f>_xlfn.CONCAT("(",SCHEDULE!$A4,") - ",TEXT(SCHEDULE!$C4,"DDD M/D")," ",TEXT(SCHEDULE!$D4,"H:MM AM/PM"),"
 (",SCHEDULE!$L4,")")</f>
        <v>(2) - Mon 6/23 5:30 PM
 (CV-Monument Park)</v>
      </c>
    </row>
    <row r="7" spans="1:5" ht="15" customHeight="1" x14ac:dyDescent="0.45">
      <c r="A7" s="45" t="str">
        <f>IF((SCHEDULE!$P2)&lt;1,SCHEDULE!$I2,_xlfn.CONCAT(SCHEDULE!$I2," - ", SCHEDULE!$J2))</f>
        <v>Great Valley - 3</v>
      </c>
      <c r="B7" s="58"/>
      <c r="C7" s="45" t="str">
        <f ca="1">IF((SCHEDULE!$P6)&lt;1,SCHEDULE!$F6,_xlfn.CONCAT(SCHEDULE!$F6," - ", SCHEDULE!$G6))</f>
        <v>Great Valley - 2</v>
      </c>
    </row>
    <row r="8" spans="1:5" ht="15" customHeight="1" x14ac:dyDescent="0.45">
      <c r="B8" s="58"/>
      <c r="C8" s="55" t="str">
        <f>_xlfn.CONCAT("(",SCHEDULE!$A6,") - ",TEXT(SCHEDULE!$C6,"DDD M/D")," ",TEXT(SCHEDULE!$D6,"H:MM AM/PM"),"
 (",SCHEDULE!$L6,")")</f>
        <v>(3) - Tue 6/24 5:30 PM
 (CV-Monument Park)</v>
      </c>
    </row>
    <row r="9" spans="1:5" ht="15" customHeight="1" x14ac:dyDescent="0.45">
      <c r="B9" s="58"/>
      <c r="C9" s="56"/>
    </row>
    <row r="10" spans="1:5" ht="15" customHeight="1" x14ac:dyDescent="0.45">
      <c r="B10" s="59"/>
      <c r="C10" s="56"/>
    </row>
    <row r="11" spans="1:5" ht="15" customHeight="1" x14ac:dyDescent="0.45">
      <c r="B11" s="45" t="str">
        <f ca="1">IF((SCHEDULE!$P4)&lt;1,SCHEDULE!$I4,_xlfn.CONCAT(SCHEDULE!$I4," - ", SCHEDULE!$J4))</f>
        <v>Great Valley - 9</v>
      </c>
      <c r="C11" s="56"/>
    </row>
    <row r="12" spans="1:5" ht="15" customHeight="1" x14ac:dyDescent="0.45">
      <c r="C12" s="56"/>
      <c r="D12" s="46" t="str">
        <f ca="1">+SCHEDULE!F8</f>
        <v>Chester Valley</v>
      </c>
    </row>
    <row r="13" spans="1:5" ht="15" customHeight="1" x14ac:dyDescent="0.45">
      <c r="C13" s="56"/>
      <c r="D13" s="47" t="str">
        <f ca="1">IF(D12="CHAMPION","","CHAMPION")</f>
        <v>CHAMPION</v>
      </c>
    </row>
    <row r="14" spans="1:5" ht="15" customHeight="1" x14ac:dyDescent="0.45">
      <c r="C14" s="56"/>
    </row>
    <row r="15" spans="1:5" ht="15" customHeight="1" x14ac:dyDescent="0.45">
      <c r="C15" s="56"/>
    </row>
    <row r="16" spans="1:5" ht="15" customHeight="1" x14ac:dyDescent="0.45">
      <c r="C16" s="57"/>
    </row>
    <row r="17" spans="3:3" ht="15" customHeight="1" x14ac:dyDescent="0.45">
      <c r="C17" s="45" t="str">
        <f ca="1">IF((SCHEDULE!$P6)&lt;1,SCHEDULE!$I6,_xlfn.CONCAT(SCHEDULE!$I6," - ", SCHEDULE!$J6))</f>
        <v>Chester Valley - 14</v>
      </c>
    </row>
  </sheetData>
  <mergeCells count="4">
    <mergeCell ref="C8:C16"/>
    <mergeCell ref="A5:A6"/>
    <mergeCell ref="B6:B10"/>
    <mergeCell ref="E2:E3"/>
  </mergeCells>
  <phoneticPr fontId="1" type="noConversion"/>
  <printOptions horizontalCentered="1"/>
  <pageMargins left="0.25" right="0.25" top="0.5" bottom="0.5" header="0.25" footer="0.25"/>
  <pageSetup orientation="landscape" r:id="rId1"/>
  <headerFooter alignWithMargins="0">
    <oddHeader>&amp;F</oddHeader>
    <oddFooter>&amp;L&amp;A&amp;C&amp;D&amp;RPage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95F73-66C7-4729-A34A-BC1B5D7684CF}">
  <dimension ref="A1:R17"/>
  <sheetViews>
    <sheetView workbookViewId="0">
      <selection activeCell="L9" sqref="L9"/>
    </sheetView>
  </sheetViews>
  <sheetFormatPr defaultColWidth="9.1328125" defaultRowHeight="14.25" x14ac:dyDescent="0.45"/>
  <cols>
    <col min="1" max="1" width="8.59765625" style="12" bestFit="1" customWidth="1"/>
    <col min="2" max="2" width="3.3984375" style="25" bestFit="1" customWidth="1"/>
    <col min="3" max="3" width="14" style="25" bestFit="1" customWidth="1"/>
    <col min="4" max="4" width="11.86328125" style="30" bestFit="1" customWidth="1"/>
    <col min="5" max="5" width="13.59765625" style="25" bestFit="1" customWidth="1"/>
    <col min="6" max="6" width="3.73046875" style="29" customWidth="1"/>
    <col min="7" max="7" width="14" style="25" bestFit="1" customWidth="1"/>
    <col min="8" max="8" width="5.86328125" style="29" bestFit="1" customWidth="1"/>
    <col min="9" max="9" width="2.86328125" style="29" bestFit="1" customWidth="1"/>
    <col min="10" max="10" width="18.59765625" style="29" bestFit="1" customWidth="1"/>
    <col min="11" max="11" width="9.73046875" style="25" bestFit="1" customWidth="1"/>
    <col min="12" max="12" width="18.59765625" style="29" bestFit="1" customWidth="1"/>
    <col min="13" max="13" width="28.265625" style="12" bestFit="1" customWidth="1"/>
    <col min="14" max="14" width="12.3984375" style="12" bestFit="1" customWidth="1"/>
    <col min="15" max="15" width="8.86328125" style="12" bestFit="1" customWidth="1"/>
    <col min="16" max="16" width="13.59765625" style="12" bestFit="1" customWidth="1"/>
    <col min="17" max="17" width="18.59765625" style="12" bestFit="1" customWidth="1"/>
    <col min="18" max="18" width="7.265625" style="12" bestFit="1" customWidth="1"/>
    <col min="19" max="19" width="5.86328125" style="12" bestFit="1" customWidth="1"/>
    <col min="20" max="20" width="22.3984375" style="12" bestFit="1" customWidth="1"/>
    <col min="21" max="21" width="6.59765625" style="12" bestFit="1" customWidth="1"/>
    <col min="22" max="22" width="6.1328125" style="12" bestFit="1" customWidth="1"/>
    <col min="23" max="23" width="20.73046875" style="12" bestFit="1" customWidth="1"/>
    <col min="24" max="24" width="13.73046875" style="12" bestFit="1" customWidth="1"/>
    <col min="25" max="25" width="17.86328125" style="12" bestFit="1" customWidth="1"/>
    <col min="26" max="26" width="30.265625" style="12" bestFit="1" customWidth="1"/>
    <col min="27" max="27" width="22.3984375" style="12" bestFit="1" customWidth="1"/>
    <col min="28" max="16384" width="9.1328125" style="12"/>
  </cols>
  <sheetData>
    <row r="1" spans="1:18" s="3" customFormat="1" x14ac:dyDescent="0.45">
      <c r="A1" s="1" t="str">
        <f>+SCHEDULE!A1</f>
        <v>G #</v>
      </c>
      <c r="B1" s="1" t="s">
        <v>18</v>
      </c>
      <c r="C1" s="1" t="str">
        <f>+SCHEDULE!B1</f>
        <v>Day</v>
      </c>
      <c r="D1" s="1" t="str">
        <f>+SCHEDULE!C1</f>
        <v>Date</v>
      </c>
      <c r="E1" s="1" t="str">
        <f>+SCHEDULE!D1</f>
        <v>Time</v>
      </c>
      <c r="F1" s="2"/>
      <c r="G1" s="62" t="str">
        <f>+SCHEDULE!F1</f>
        <v>Teams &amp; Scores</v>
      </c>
      <c r="H1" s="63"/>
      <c r="I1" s="63"/>
      <c r="J1" s="63"/>
      <c r="K1" s="64"/>
      <c r="L1" s="1" t="str">
        <f>+SCHEDULE!L1</f>
        <v>Host/Park/Field</v>
      </c>
      <c r="M1" s="1" t="str">
        <f>+SCHEDULE!M1</f>
        <v>Umpire(s)</v>
      </c>
      <c r="N1" s="1" t="s">
        <v>19</v>
      </c>
      <c r="O1" s="1" t="s">
        <v>20</v>
      </c>
      <c r="P1" s="1" t="s">
        <v>21</v>
      </c>
      <c r="Q1" s="1" t="s">
        <v>22</v>
      </c>
      <c r="R1" s="1" t="s">
        <v>23</v>
      </c>
    </row>
    <row r="2" spans="1:18" x14ac:dyDescent="0.45">
      <c r="A2" s="4" t="str">
        <f>CONCATENATE($C$17,"-",TEXT(B2,"00"))</f>
        <v>BB-JR-01</v>
      </c>
      <c r="B2" s="4">
        <v>1</v>
      </c>
      <c r="C2" s="5">
        <f>VLOOKUP($B2,SCHEDULE!$A$2:$M$28,2,FALSE)</f>
        <v>45828</v>
      </c>
      <c r="D2" s="6">
        <f>VLOOKUP($B2,SCHEDULE!$A$2:$M$28,3,FALSE)</f>
        <v>45828</v>
      </c>
      <c r="E2" s="7">
        <f>VLOOKUP($B2,SCHEDULE!$A$2:$M$28,4,FALSE)</f>
        <v>0.72916666666666663</v>
      </c>
      <c r="F2" s="8"/>
      <c r="G2" s="9" t="str">
        <f>VLOOKUP($B2,SCHEDULE!$A$2:$M$28,6,FALSE)</f>
        <v>Chester Valley</v>
      </c>
      <c r="H2" s="10">
        <f>VLOOKUP($B2,SCHEDULE!$A$2:$M$28,7,FALSE)</f>
        <v>15</v>
      </c>
      <c r="I2" s="10" t="str">
        <f>VLOOKUP($B2,SCHEDULE!$A$2:$M$28,8,FALSE)</f>
        <v>vs</v>
      </c>
      <c r="J2" s="9" t="str">
        <f>VLOOKUP($B2,SCHEDULE!$A$2:$M$28,9,FALSE)</f>
        <v>Great Valley</v>
      </c>
      <c r="K2" s="10">
        <f>VLOOKUP($B2,SCHEDULE!$A$2:$M$28,10,FALSE)</f>
        <v>3</v>
      </c>
      <c r="L2" s="10" t="str">
        <f>VLOOKUP($B2,SCHEDULE!$A$2:$M$28,12,FALSE)</f>
        <v>GV-King Road</v>
      </c>
      <c r="M2" s="34" t="str">
        <f>VLOOKUP($B2,SCHEDULE!$A$2:$M$28,13,FALSE)</f>
        <v>Assigned by D27 Scott Bennett</v>
      </c>
      <c r="N2" s="11" t="s">
        <v>24</v>
      </c>
      <c r="O2" s="10" t="s">
        <v>25</v>
      </c>
      <c r="P2" s="10" t="str">
        <f>+$C$17</f>
        <v>BB-JR</v>
      </c>
      <c r="Q2" s="10"/>
      <c r="R2" s="10"/>
    </row>
    <row r="3" spans="1:18" x14ac:dyDescent="0.45">
      <c r="A3" s="4" t="str">
        <f t="shared" ref="A3:A4" si="0">CONCATENATE($C$17,"-",TEXT(B3,"00"))</f>
        <v>BB-JR-02</v>
      </c>
      <c r="B3" s="4">
        <v>2</v>
      </c>
      <c r="C3" s="14">
        <f>VLOOKUP($B3,SCHEDULE!$A$2:$M$28,2,FALSE)</f>
        <v>45831</v>
      </c>
      <c r="D3" s="15">
        <f>VLOOKUP($B3,SCHEDULE!$A$2:$M$28,3,FALSE)</f>
        <v>45831</v>
      </c>
      <c r="E3" s="16">
        <f>VLOOKUP($B3,SCHEDULE!$A$2:$M$28,4,FALSE)</f>
        <v>0.72916666666666663</v>
      </c>
      <c r="F3" s="8"/>
      <c r="G3" s="13" t="str">
        <f ca="1">VLOOKUP($B3,SCHEDULE!$A$2:$M$28,6,FALSE)</f>
        <v>Chester Valley</v>
      </c>
      <c r="H3" s="10">
        <f>VLOOKUP($B3,SCHEDULE!$A$2:$M$28,7,FALSE)</f>
        <v>6</v>
      </c>
      <c r="I3" s="10" t="str">
        <f>VLOOKUP($B3,SCHEDULE!$A$2:$M$28,8,FALSE)</f>
        <v>vs</v>
      </c>
      <c r="J3" s="13" t="str">
        <f ca="1">VLOOKUP($B3,SCHEDULE!$A$2:$M$28,9,FALSE)</f>
        <v>Great Valley</v>
      </c>
      <c r="K3" s="10">
        <f>VLOOKUP($B3,SCHEDULE!$A$2:$M$28,10,FALSE)</f>
        <v>9</v>
      </c>
      <c r="L3" s="10" t="str">
        <f>VLOOKUP($B3,SCHEDULE!$A$2:$M$28,12,FALSE)</f>
        <v>CV-Monument Park</v>
      </c>
      <c r="M3" s="34" t="str">
        <f>VLOOKUP($B3,SCHEDULE!$A$2:$M$28,13,FALSE)</f>
        <v>Assigned by D27 Scott Bennett</v>
      </c>
      <c r="N3" s="11" t="s">
        <v>24</v>
      </c>
      <c r="O3" s="10" t="s">
        <v>25</v>
      </c>
      <c r="P3" s="10" t="str">
        <f t="shared" ref="P3:P4" si="1">+$C$17</f>
        <v>BB-JR</v>
      </c>
      <c r="Q3" s="10" t="s">
        <v>22</v>
      </c>
      <c r="R3" s="10"/>
    </row>
    <row r="4" spans="1:18" x14ac:dyDescent="0.45">
      <c r="A4" s="4" t="str">
        <f t="shared" si="0"/>
        <v>BB-JR-03</v>
      </c>
      <c r="B4" s="4">
        <v>3</v>
      </c>
      <c r="C4" s="14">
        <f>VLOOKUP($B4,SCHEDULE!$A$2:$M$28,2,FALSE)</f>
        <v>45832</v>
      </c>
      <c r="D4" s="15">
        <f>VLOOKUP($B4,SCHEDULE!$A$2:$M$28,3,FALSE)</f>
        <v>45832</v>
      </c>
      <c r="E4" s="16">
        <f>VLOOKUP($B4,SCHEDULE!$A$2:$M$28,4,FALSE)</f>
        <v>0.72916666666666663</v>
      </c>
      <c r="F4" s="8"/>
      <c r="G4" s="13" t="str">
        <f ca="1">VLOOKUP($B4,SCHEDULE!$A$2:$M$28,6,FALSE)</f>
        <v>Great Valley</v>
      </c>
      <c r="H4" s="10">
        <f>VLOOKUP($B4,SCHEDULE!$A$2:$M$28,7,FALSE)</f>
        <v>2</v>
      </c>
      <c r="I4" s="10" t="str">
        <f>VLOOKUP($B4,SCHEDULE!$A$2:$M$28,8,FALSE)</f>
        <v>vs</v>
      </c>
      <c r="J4" s="13" t="str">
        <f ca="1">VLOOKUP($B4,SCHEDULE!$A$2:$M$28,9,FALSE)</f>
        <v>Chester Valley</v>
      </c>
      <c r="K4" s="10">
        <f>VLOOKUP($B4,SCHEDULE!$A$2:$M$28,10,FALSE)</f>
        <v>14</v>
      </c>
      <c r="L4" s="10" t="str">
        <f>VLOOKUP($B4,SCHEDULE!$A$2:$M$28,12,FALSE)</f>
        <v>CV-Monument Park</v>
      </c>
      <c r="M4" s="34" t="str">
        <f>VLOOKUP($B4,SCHEDULE!$A$2:$M$28,13,FALSE)</f>
        <v>Assigned by D27 Scott Bennett</v>
      </c>
      <c r="N4" s="11" t="s">
        <v>24</v>
      </c>
      <c r="O4" s="10" t="s">
        <v>25</v>
      </c>
      <c r="P4" s="10" t="str">
        <f t="shared" si="1"/>
        <v>BB-JR</v>
      </c>
      <c r="Q4" s="10" t="s">
        <v>16</v>
      </c>
      <c r="R4" s="10"/>
    </row>
    <row r="8" spans="1:18" x14ac:dyDescent="0.45">
      <c r="B8" s="17" t="s">
        <v>12</v>
      </c>
      <c r="C8" s="17" t="s">
        <v>13</v>
      </c>
      <c r="D8" s="17" t="s">
        <v>26</v>
      </c>
      <c r="E8" s="17" t="s">
        <v>27</v>
      </c>
      <c r="F8" s="17"/>
      <c r="G8" s="17" t="s">
        <v>28</v>
      </c>
      <c r="H8" s="17" t="s">
        <v>29</v>
      </c>
      <c r="I8" s="17"/>
      <c r="J8" s="17" t="s">
        <v>14</v>
      </c>
      <c r="K8" s="17" t="s">
        <v>30</v>
      </c>
      <c r="L8" s="17" t="s">
        <v>31</v>
      </c>
      <c r="M8" s="17" t="str">
        <f t="shared" ref="M8:M10" si="2">+C8</f>
        <v>Team</v>
      </c>
      <c r="N8" s="17" t="s">
        <v>32</v>
      </c>
      <c r="O8" s="17" t="str">
        <f t="shared" ref="O8:P10" si="3">+D8</f>
        <v>Manager</v>
      </c>
      <c r="P8" s="17" t="str">
        <f t="shared" si="3"/>
        <v>Email Address</v>
      </c>
      <c r="Q8" s="17" t="str">
        <f>+J8</f>
        <v>Park</v>
      </c>
    </row>
    <row r="9" spans="1:18" x14ac:dyDescent="0.45">
      <c r="B9" s="18">
        <v>1</v>
      </c>
      <c r="C9" s="40" t="s">
        <v>40</v>
      </c>
      <c r="D9" s="40"/>
      <c r="E9" s="50"/>
      <c r="F9" s="51"/>
      <c r="G9" s="51"/>
      <c r="H9" s="51" t="s">
        <v>33</v>
      </c>
      <c r="I9" s="51"/>
      <c r="J9" s="40" t="s">
        <v>44</v>
      </c>
      <c r="K9" s="52">
        <v>9.0500000000000007</v>
      </c>
      <c r="L9" s="18">
        <f>RANK($K9,K$9:K$10,1)</f>
        <v>1</v>
      </c>
      <c r="M9" s="19" t="str">
        <f t="shared" si="2"/>
        <v>Chester Valley</v>
      </c>
      <c r="N9" s="20" t="str">
        <f>_xlfn.CONCAT($H9,$C$16)</f>
        <v>CV-D27-BBJR</v>
      </c>
      <c r="O9" s="18">
        <f t="shared" si="3"/>
        <v>0</v>
      </c>
      <c r="P9" s="18">
        <f t="shared" si="3"/>
        <v>0</v>
      </c>
      <c r="Q9" s="20" t="str">
        <f t="shared" ref="Q9:Q10" si="4">IF(J9&lt;&gt;"",J9,"")</f>
        <v>CV-Monument Park</v>
      </c>
    </row>
    <row r="10" spans="1:18" x14ac:dyDescent="0.45">
      <c r="B10" s="18">
        <f t="shared" ref="B10" si="5">+B9+1</f>
        <v>2</v>
      </c>
      <c r="C10" s="40" t="s">
        <v>41</v>
      </c>
      <c r="D10" s="40"/>
      <c r="E10" s="40"/>
      <c r="F10" s="51"/>
      <c r="G10" s="51"/>
      <c r="H10" s="51" t="s">
        <v>43</v>
      </c>
      <c r="I10" s="51"/>
      <c r="J10" s="40" t="s">
        <v>34</v>
      </c>
      <c r="K10" s="52">
        <v>11.09</v>
      </c>
      <c r="L10" s="18">
        <f>RANK($K10,K$9:K$10,1)</f>
        <v>2</v>
      </c>
      <c r="M10" s="19" t="str">
        <f t="shared" si="2"/>
        <v>Great Valley</v>
      </c>
      <c r="N10" s="20" t="str">
        <f>_xlfn.CONCAT($H10,$C$16)</f>
        <v>GV-D27-BBJR</v>
      </c>
      <c r="O10" s="18">
        <f t="shared" si="3"/>
        <v>0</v>
      </c>
      <c r="P10" s="18">
        <f t="shared" si="3"/>
        <v>0</v>
      </c>
      <c r="Q10" s="20" t="str">
        <f t="shared" si="4"/>
        <v>GV-King Road</v>
      </c>
    </row>
    <row r="11" spans="1:18" x14ac:dyDescent="0.45">
      <c r="B11" s="10"/>
      <c r="C11" s="21"/>
      <c r="D11" s="21"/>
      <c r="E11" s="21"/>
      <c r="F11" s="10"/>
      <c r="G11" s="10"/>
      <c r="H11" s="10"/>
      <c r="I11" s="10"/>
      <c r="J11" s="21"/>
      <c r="K11" s="22"/>
      <c r="L11" s="10"/>
      <c r="M11" s="23"/>
      <c r="N11" s="23"/>
      <c r="O11" s="4"/>
      <c r="P11" s="4"/>
      <c r="Q11" s="23"/>
    </row>
    <row r="12" spans="1:18" x14ac:dyDescent="0.45">
      <c r="B12" s="10"/>
      <c r="C12" s="21"/>
      <c r="D12" s="21"/>
      <c r="E12" s="21"/>
      <c r="F12" s="10"/>
      <c r="G12" s="10"/>
      <c r="H12" s="10"/>
      <c r="I12" s="10"/>
      <c r="J12" s="21"/>
      <c r="K12" s="22"/>
      <c r="L12" s="10"/>
      <c r="M12" s="23"/>
      <c r="N12" s="23"/>
      <c r="O12" s="4"/>
      <c r="P12" s="4"/>
      <c r="Q12" s="23"/>
    </row>
    <row r="13" spans="1:18" x14ac:dyDescent="0.45">
      <c r="B13" s="10"/>
      <c r="C13" s="21"/>
      <c r="D13" s="21"/>
      <c r="E13" s="21"/>
      <c r="F13" s="10"/>
      <c r="G13" s="10"/>
      <c r="H13" s="10"/>
      <c r="I13" s="10"/>
      <c r="J13" s="21"/>
      <c r="K13" s="22"/>
      <c r="L13" s="10"/>
      <c r="M13" s="23"/>
      <c r="N13" s="23"/>
      <c r="O13" s="4"/>
      <c r="P13" s="4"/>
      <c r="Q13" s="23"/>
    </row>
    <row r="14" spans="1:18" x14ac:dyDescent="0.45">
      <c r="B14" s="10"/>
      <c r="C14" s="21"/>
      <c r="D14" s="21"/>
      <c r="E14" s="21"/>
      <c r="F14" s="10"/>
      <c r="G14" s="10"/>
      <c r="H14" s="10"/>
      <c r="I14" s="10"/>
      <c r="J14" s="21"/>
      <c r="K14" s="22"/>
      <c r="L14" s="24"/>
      <c r="M14" s="23"/>
      <c r="N14" s="23"/>
      <c r="O14" s="4"/>
      <c r="P14" s="4"/>
      <c r="Q14" s="23"/>
    </row>
    <row r="15" spans="1:18" x14ac:dyDescent="0.45">
      <c r="D15" s="25"/>
      <c r="F15" s="25"/>
      <c r="H15" s="25"/>
      <c r="I15" s="25"/>
      <c r="J15" s="25"/>
      <c r="L15" s="25"/>
      <c r="M15" s="25"/>
      <c r="N15" s="25"/>
      <c r="O15" s="25"/>
    </row>
    <row r="16" spans="1:18" x14ac:dyDescent="0.45">
      <c r="C16" s="26" t="s">
        <v>42</v>
      </c>
      <c r="D16" s="27" t="s">
        <v>35</v>
      </c>
      <c r="E16" s="28"/>
      <c r="F16" s="28"/>
      <c r="H16" s="25"/>
      <c r="I16" s="25"/>
      <c r="J16" s="25"/>
      <c r="L16" s="25"/>
      <c r="M16" s="25"/>
      <c r="N16" s="25"/>
      <c r="O16" s="25"/>
    </row>
    <row r="17" spans="2:15" x14ac:dyDescent="0.45">
      <c r="B17" s="29"/>
      <c r="C17" s="26" t="s">
        <v>46</v>
      </c>
      <c r="D17" s="27" t="s">
        <v>21</v>
      </c>
      <c r="E17" s="29"/>
      <c r="F17" s="25"/>
      <c r="G17" s="29"/>
      <c r="J17" s="25"/>
      <c r="M17" s="25"/>
      <c r="N17" s="29"/>
      <c r="O17" s="29"/>
    </row>
  </sheetData>
  <mergeCells count="1">
    <mergeCell ref="G1:K1"/>
  </mergeCells>
  <conditionalFormatting sqref="N2:N4">
    <cfRule type="cellIs" dxfId="1" priority="1" operator="equal">
      <formula>"Softball"</formula>
    </cfRule>
    <cfRule type="cellIs" dxfId="0" priority="2" operator="equal">
      <formula>"Baseball"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SCHEDULE</vt:lpstr>
      <vt:lpstr>BRACKET</vt:lpstr>
      <vt:lpstr>D27</vt:lpstr>
    </vt:vector>
  </TitlesOfParts>
  <Company>Bon Secours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Nartowicz</dc:creator>
  <cp:lastModifiedBy>Jeff Bennett</cp:lastModifiedBy>
  <cp:lastPrinted>2025-06-02T06:19:19Z</cp:lastPrinted>
  <dcterms:created xsi:type="dcterms:W3CDTF">2005-05-15T21:01:56Z</dcterms:created>
  <dcterms:modified xsi:type="dcterms:W3CDTF">2025-08-06T15:10:06Z</dcterms:modified>
</cp:coreProperties>
</file>