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Removable Disk\JB_Flash_Drive\Jeff\ELL_2025\PA_Dist_27\All-Stars\Schedules\International Games\Completed Games\"/>
    </mc:Choice>
  </mc:AlternateContent>
  <xr:revisionPtr revIDLastSave="0" documentId="13_ncr:1_{2A43C223-599F-43FB-A259-C809D489366C}" xr6:coauthVersionLast="47" xr6:coauthVersionMax="47" xr10:uidLastSave="{00000000-0000-0000-0000-000000000000}"/>
  <bookViews>
    <workbookView xWindow="47880" yWindow="-120" windowWidth="29040" windowHeight="15720" activeTab="1" xr2:uid="{A8308796-E3D6-4BAC-BFF3-BDD58D20EA08}"/>
  </bookViews>
  <sheets>
    <sheet name="SCHEDULE" sheetId="1" r:id="rId1"/>
    <sheet name="BRACKET" sheetId="2" r:id="rId2"/>
    <sheet name="D27" sheetId="3" state="hidden" r:id="rId3"/>
  </sheets>
  <definedNames>
    <definedName name="_xlnm.Print_Titles" localSheetId="0">SCHEDULE!$1:$1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2" l="1"/>
  <c r="A15" i="2"/>
  <c r="D11" i="2"/>
  <c r="A9" i="2"/>
  <c r="C7" i="2"/>
  <c r="B5" i="2"/>
  <c r="A4" i="2"/>
  <c r="Z5" i="1"/>
  <c r="Y5" i="1"/>
  <c r="X5" i="1"/>
  <c r="Z4" i="1"/>
  <c r="Y4" i="1"/>
  <c r="X4" i="1"/>
  <c r="Y3" i="1"/>
  <c r="X3" i="1"/>
  <c r="Z2" i="1"/>
  <c r="Y2" i="1"/>
  <c r="X2" i="1"/>
  <c r="M8" i="3"/>
  <c r="L8" i="3"/>
  <c r="K8" i="3"/>
  <c r="I8" i="3"/>
  <c r="H8" i="3"/>
  <c r="E8" i="3"/>
  <c r="D8" i="3"/>
  <c r="C8" i="3" s="1"/>
  <c r="M7" i="3"/>
  <c r="L7" i="3"/>
  <c r="K7" i="3"/>
  <c r="I7" i="3"/>
  <c r="H7" i="3"/>
  <c r="E7" i="3"/>
  <c r="D7" i="3"/>
  <c r="C7" i="3" s="1"/>
  <c r="M6" i="3"/>
  <c r="L6" i="3"/>
  <c r="K6" i="3"/>
  <c r="I6" i="3"/>
  <c r="H6" i="3"/>
  <c r="E6" i="3"/>
  <c r="D6" i="3"/>
  <c r="C6" i="3" s="1"/>
  <c r="M5" i="3"/>
  <c r="L5" i="3"/>
  <c r="K5" i="3"/>
  <c r="I5" i="3"/>
  <c r="H5" i="3"/>
  <c r="E5" i="3"/>
  <c r="D5" i="3"/>
  <c r="C5" i="3" s="1"/>
  <c r="M4" i="3"/>
  <c r="L4" i="3"/>
  <c r="K4" i="3"/>
  <c r="I4" i="3"/>
  <c r="H4" i="3"/>
  <c r="E4" i="3"/>
  <c r="D4" i="3"/>
  <c r="C4" i="3" s="1"/>
  <c r="M3" i="3"/>
  <c r="L3" i="3"/>
  <c r="K3" i="3"/>
  <c r="I3" i="3"/>
  <c r="H3" i="3"/>
  <c r="E3" i="3"/>
  <c r="D3" i="3"/>
  <c r="C3" i="3" s="1"/>
  <c r="M2" i="3"/>
  <c r="L2" i="3"/>
  <c r="K2" i="3"/>
  <c r="I2" i="3"/>
  <c r="H2" i="3"/>
  <c r="E2" i="3"/>
  <c r="D2" i="3"/>
  <c r="C2" i="3" s="1"/>
  <c r="Q16" i="3"/>
  <c r="P16" i="3"/>
  <c r="O16" i="3"/>
  <c r="N16" i="3"/>
  <c r="M16" i="3"/>
  <c r="L16" i="3"/>
  <c r="Q15" i="3"/>
  <c r="Z3" i="1" s="1"/>
  <c r="P15" i="3"/>
  <c r="O15" i="3"/>
  <c r="N15" i="3"/>
  <c r="M15" i="3"/>
  <c r="L15" i="3"/>
  <c r="B15" i="3"/>
  <c r="B16" i="3" s="1"/>
  <c r="Q14" i="3"/>
  <c r="P14" i="3"/>
  <c r="O14" i="3"/>
  <c r="N14" i="3"/>
  <c r="M14" i="3"/>
  <c r="L14" i="3"/>
  <c r="B14" i="3"/>
  <c r="Q13" i="3"/>
  <c r="P13" i="3"/>
  <c r="O13" i="3"/>
  <c r="N13" i="3"/>
  <c r="M13" i="3"/>
  <c r="L13" i="3"/>
  <c r="Q12" i="3"/>
  <c r="P12" i="3"/>
  <c r="O12" i="3"/>
  <c r="M12" i="3"/>
  <c r="P8" i="3"/>
  <c r="A8" i="3"/>
  <c r="P7" i="3"/>
  <c r="A7" i="3"/>
  <c r="P6" i="3"/>
  <c r="A6" i="3"/>
  <c r="P5" i="3"/>
  <c r="A5" i="3"/>
  <c r="P4" i="3"/>
  <c r="A4" i="3"/>
  <c r="P3" i="3"/>
  <c r="A3" i="3"/>
  <c r="P2" i="3"/>
  <c r="A2" i="3"/>
  <c r="P12" i="1"/>
  <c r="B12" i="1"/>
  <c r="P10" i="1"/>
  <c r="B10" i="1"/>
  <c r="AA8" i="1"/>
  <c r="P8" i="1"/>
  <c r="B8" i="1"/>
  <c r="AA7" i="1"/>
  <c r="P6" i="1"/>
  <c r="B6" i="1"/>
  <c r="P5" i="1"/>
  <c r="B5" i="1"/>
  <c r="W3" i="1"/>
  <c r="W4" i="1" s="1"/>
  <c r="P3" i="1"/>
  <c r="B3" i="1"/>
  <c r="AA2" i="1"/>
  <c r="R2" i="1"/>
  <c r="F2" i="1" s="1"/>
  <c r="G2" i="3" s="1"/>
  <c r="P2" i="1"/>
  <c r="B2" i="1"/>
  <c r="F5" i="1" a="1"/>
  <c r="I6" i="1" a="1"/>
  <c r="I5" i="1" a="1"/>
  <c r="F6" i="1" a="1"/>
  <c r="A3" i="2" l="1"/>
  <c r="F5" i="1"/>
  <c r="I5" i="1"/>
  <c r="F6" i="1"/>
  <c r="I6" i="1"/>
  <c r="AA4" i="1"/>
  <c r="W5" i="1"/>
  <c r="AA3" i="1"/>
  <c r="F8" i="1" a="1"/>
  <c r="F10" i="1" a="1"/>
  <c r="I8" i="1" a="1"/>
  <c r="F8" i="1" l="1"/>
  <c r="I8" i="1"/>
  <c r="J6" i="3" s="1"/>
  <c r="F10" i="1"/>
  <c r="G5" i="3"/>
  <c r="A14" i="2"/>
  <c r="J5" i="3"/>
  <c r="A17" i="2"/>
  <c r="J4" i="3"/>
  <c r="B10" i="2"/>
  <c r="G4" i="3"/>
  <c r="B4" i="2"/>
  <c r="U2" i="1"/>
  <c r="I2" i="1" s="1"/>
  <c r="R3" i="1"/>
  <c r="F3" i="1" s="1"/>
  <c r="AA5" i="1"/>
  <c r="AA9" i="1" s="1"/>
  <c r="I10" i="1" a="1"/>
  <c r="I12" i="1" a="1"/>
  <c r="I12" i="1" l="1"/>
  <c r="G7" i="3"/>
  <c r="I10" i="1"/>
  <c r="G6" i="3"/>
  <c r="B15" i="2"/>
  <c r="C6" i="2"/>
  <c r="B18" i="2"/>
  <c r="J2" i="3"/>
  <c r="A6" i="2"/>
  <c r="G3" i="3"/>
  <c r="A8" i="2"/>
  <c r="U3" i="1"/>
  <c r="I3" i="1" s="1"/>
  <c r="F12" i="1" a="1"/>
  <c r="F12" i="1" l="1"/>
  <c r="D10" i="2" s="1"/>
  <c r="J8" i="3"/>
  <c r="D22" i="2"/>
  <c r="J7" i="3"/>
  <c r="C17" i="2"/>
  <c r="J3" i="3"/>
  <c r="A11" i="2"/>
  <c r="F14" i="1" a="1"/>
  <c r="G8" i="3" l="1"/>
  <c r="F14" i="1"/>
  <c r="E16" i="2" s="1"/>
  <c r="E1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<sst xmlns="http://schemas.openxmlformats.org/spreadsheetml/2006/main" count="107" uniqueCount="60">
  <si>
    <t>G #</t>
  </si>
  <si>
    <t>Day</t>
  </si>
  <si>
    <t>Date</t>
  </si>
  <si>
    <t>Time</t>
  </si>
  <si>
    <t>Teams &amp; Scores</t>
  </si>
  <si>
    <t>Host/Park/Field</t>
  </si>
  <si>
    <t>Umpire(s)</t>
  </si>
  <si>
    <t>Umpire (bases)</t>
  </si>
  <si>
    <t>SUM</t>
  </si>
  <si>
    <t>Teams</t>
  </si>
  <si>
    <t>#</t>
  </si>
  <si>
    <t>Team</t>
  </si>
  <si>
    <t>GC Name</t>
  </si>
  <si>
    <t>Park</t>
  </si>
  <si>
    <t>Host</t>
  </si>
  <si>
    <t>vs</t>
  </si>
  <si>
    <t>LP-French Field</t>
  </si>
  <si>
    <t>Assigned by D27 Scott Bennett</t>
  </si>
  <si>
    <t>GV-King Road</t>
  </si>
  <si>
    <t>WG-1</t>
  </si>
  <si>
    <t>WG-2</t>
  </si>
  <si>
    <t>Lower Merion</t>
  </si>
  <si>
    <t>LG-1</t>
  </si>
  <si>
    <t>LG-2</t>
  </si>
  <si>
    <t>WG-4</t>
  </si>
  <si>
    <t>LG-3</t>
  </si>
  <si>
    <t>Total</t>
  </si>
  <si>
    <t>CV-Monument Park</t>
  </si>
  <si>
    <t>WG-3</t>
  </si>
  <si>
    <t>WG-5</t>
  </si>
  <si>
    <t>WG-6</t>
  </si>
  <si>
    <t>If Necessary</t>
  </si>
  <si>
    <t>Champion</t>
  </si>
  <si>
    <t>LL International</t>
  </si>
  <si>
    <t>BB-SR</t>
  </si>
  <si>
    <t>Senior Baseball</t>
  </si>
  <si>
    <t>G#</t>
  </si>
  <si>
    <t>Division</t>
  </si>
  <si>
    <t>Level</t>
  </si>
  <si>
    <t>Tournament</t>
  </si>
  <si>
    <t>Championship</t>
  </si>
  <si>
    <t>D27 DA</t>
  </si>
  <si>
    <t>Baseball</t>
  </si>
  <si>
    <t>D27</t>
  </si>
  <si>
    <t>Manager</t>
  </si>
  <si>
    <t>Email Address</t>
  </si>
  <si>
    <t>Cell Phone</t>
  </si>
  <si>
    <t>ABBV</t>
  </si>
  <si>
    <t>Random #</t>
  </si>
  <si>
    <t>Order</t>
  </si>
  <si>
    <t>Chester Valley</t>
  </si>
  <si>
    <t>CV</t>
  </si>
  <si>
    <t>Great Valley</t>
  </si>
  <si>
    <t>GV</t>
  </si>
  <si>
    <t>LM</t>
  </si>
  <si>
    <t>Lower Perk</t>
  </si>
  <si>
    <t>LP</t>
  </si>
  <si>
    <t>-D27-BBSR</t>
  </si>
  <si>
    <t>GC Abbrev</t>
  </si>
  <si>
    <t>LM-S. Ardmore Park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</si>
</sst>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"/>
    <numFmt numFmtId="165" formatCode="dd\-mmm\-yy"/>
    <numFmt numFmtId="166" formatCode="mmm\-dd\-yyyy"/>
  </numFmts>
  <fonts count="11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u/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sz val="24"/>
      <name val="Calibri"/>
      <family val="2"/>
    </font>
    <font>
      <b/>
      <sz val="10"/>
      <name val="Calibri"/>
      <family val="2"/>
    </font>
    <font>
      <u/>
      <sz val="11"/>
      <color theme="10"/>
      <name val="Aptos Narrow"/>
      <family val="2"/>
      <scheme val="minor"/>
    </font>
    <font>
      <u/>
      <sz val="11"/>
      <color theme="10"/>
      <name val="Calibri"/>
      <family val="2"/>
    </font>
    <font>
      <sz val="1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 applyNumberFormat="0" applyFill="0" applyBorder="0" applyAlignment="0" applyProtection="0"/>
  </cellStyleXfs>
  <cellXfs count="77">
    <xf numFmtId="0" fontId="0" fillId="0" borderId="0" xfId="0"/>
    <xf numFmtId="0" fontId="2" fillId="2" borderId="1" xfId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vertical="center"/>
    </xf>
    <xf numFmtId="0" fontId="2" fillId="0" borderId="1" xfId="1" applyFont="1" applyBorder="1" applyAlignment="1">
      <alignment horizontal="center" vertical="center"/>
    </xf>
    <xf numFmtId="0" fontId="3" fillId="0" borderId="0" xfId="1" applyFont="1" applyAlignment="1">
      <alignment vertical="center"/>
    </xf>
    <xf numFmtId="0" fontId="4" fillId="2" borderId="1" xfId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164" fontId="3" fillId="0" borderId="1" xfId="1" applyNumberFormat="1" applyFont="1" applyBorder="1" applyAlignment="1">
      <alignment horizontal="center" vertical="center"/>
    </xf>
    <xf numFmtId="165" fontId="3" fillId="0" borderId="1" xfId="1" applyNumberFormat="1" applyFont="1" applyBorder="1" applyAlignment="1">
      <alignment horizontal="center" vertical="center"/>
    </xf>
    <xf numFmtId="18" fontId="3" fillId="0" borderId="1" xfId="1" applyNumberFormat="1" applyFont="1" applyBorder="1" applyAlignment="1">
      <alignment horizontal="center" vertical="center"/>
    </xf>
    <xf numFmtId="0" fontId="3" fillId="3" borderId="1" xfId="1" applyFont="1" applyFill="1" applyBorder="1" applyAlignment="1">
      <alignment vertical="center"/>
    </xf>
    <xf numFmtId="1" fontId="3" fillId="0" borderId="0" xfId="1" applyNumberFormat="1" applyFont="1" applyAlignment="1">
      <alignment vertical="center"/>
    </xf>
    <xf numFmtId="0" fontId="3" fillId="5" borderId="1" xfId="1" applyFont="1" applyFill="1" applyBorder="1" applyAlignment="1">
      <alignment vertical="center"/>
    </xf>
    <xf numFmtId="0" fontId="3" fillId="5" borderId="1" xfId="1" applyFont="1" applyFill="1" applyBorder="1" applyAlignment="1">
      <alignment horizontal="center" vertical="center"/>
    </xf>
    <xf numFmtId="0" fontId="3" fillId="5" borderId="1" xfId="1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1" fontId="3" fillId="0" borderId="0" xfId="1" applyNumberFormat="1" applyFont="1"/>
    <xf numFmtId="0" fontId="3" fillId="0" borderId="0" xfId="1" applyFont="1"/>
    <xf numFmtId="0" fontId="3" fillId="0" borderId="0" xfId="0" applyFont="1"/>
    <xf numFmtId="0" fontId="3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horizontal="center" vertical="center"/>
    </xf>
    <xf numFmtId="164" fontId="3" fillId="4" borderId="1" xfId="1" applyNumberFormat="1" applyFont="1" applyFill="1" applyBorder="1" applyAlignment="1">
      <alignment horizontal="center" vertical="center"/>
    </xf>
    <xf numFmtId="18" fontId="3" fillId="4" borderId="1" xfId="1" applyNumberFormat="1" applyFont="1" applyFill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4" fillId="0" borderId="1" xfId="1" applyFont="1" applyBorder="1" applyAlignment="1">
      <alignment horizontal="left"/>
    </xf>
    <xf numFmtId="164" fontId="4" fillId="0" borderId="1" xfId="1" applyNumberFormat="1" applyFont="1" applyBorder="1" applyAlignment="1">
      <alignment horizontal="center" vertical="center"/>
    </xf>
    <xf numFmtId="165" fontId="4" fillId="0" borderId="1" xfId="1" applyNumberFormat="1" applyFont="1" applyBorder="1" applyAlignment="1">
      <alignment horizontal="center"/>
    </xf>
    <xf numFmtId="18" fontId="4" fillId="0" borderId="1" xfId="1" applyNumberFormat="1" applyFont="1" applyBorder="1" applyAlignment="1">
      <alignment horizontal="center"/>
    </xf>
    <xf numFmtId="0" fontId="4" fillId="0" borderId="1" xfId="1" applyFont="1" applyBorder="1" applyAlignment="1">
      <alignment horizontal="right"/>
    </xf>
    <xf numFmtId="0" fontId="4" fillId="0" borderId="1" xfId="1" applyFont="1" applyBorder="1" applyAlignment="1">
      <alignment vertical="center"/>
    </xf>
    <xf numFmtId="0" fontId="3" fillId="0" borderId="0" xfId="1" applyFont="1" applyAlignment="1">
      <alignment horizontal="center"/>
    </xf>
    <xf numFmtId="165" fontId="3" fillId="0" borderId="0" xfId="1" applyNumberFormat="1" applyFont="1" applyAlignment="1">
      <alignment horizontal="center"/>
    </xf>
    <xf numFmtId="165" fontId="3" fillId="0" borderId="0" xfId="1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2" fillId="2" borderId="9" xfId="1" applyFont="1" applyFill="1" applyBorder="1" applyAlignment="1">
      <alignment horizontal="center" vertical="center"/>
    </xf>
    <xf numFmtId="0" fontId="3" fillId="6" borderId="1" xfId="1" applyFont="1" applyFill="1" applyBorder="1" applyAlignment="1">
      <alignment horizontal="center" vertical="center"/>
    </xf>
    <xf numFmtId="164" fontId="3" fillId="6" borderId="1" xfId="1" applyNumberFormat="1" applyFont="1" applyFill="1" applyBorder="1" applyAlignment="1">
      <alignment horizontal="center" vertical="center"/>
    </xf>
    <xf numFmtId="166" fontId="3" fillId="6" borderId="1" xfId="1" applyNumberFormat="1" applyFont="1" applyFill="1" applyBorder="1" applyAlignment="1">
      <alignment horizontal="center" vertical="center"/>
    </xf>
    <xf numFmtId="18" fontId="3" fillId="6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0" fontId="4" fillId="7" borderId="1" xfId="1" applyFont="1" applyFill="1" applyBorder="1" applyAlignment="1">
      <alignment horizontal="center" vertical="center"/>
    </xf>
    <xf numFmtId="0" fontId="5" fillId="0" borderId="0" xfId="0" applyFont="1"/>
    <xf numFmtId="166" fontId="3" fillId="4" borderId="1" xfId="1" applyNumberFormat="1" applyFont="1" applyFill="1" applyBorder="1" applyAlignment="1">
      <alignment horizontal="center" vertical="center"/>
    </xf>
    <xf numFmtId="0" fontId="3" fillId="8" borderId="1" xfId="1" applyFont="1" applyFill="1" applyBorder="1" applyAlignment="1">
      <alignment horizontal="center" vertical="center"/>
    </xf>
    <xf numFmtId="0" fontId="9" fillId="5" borderId="1" xfId="2" applyFont="1" applyFill="1" applyBorder="1" applyAlignment="1">
      <alignment vertical="center"/>
    </xf>
    <xf numFmtId="2" fontId="3" fillId="5" borderId="1" xfId="1" applyNumberFormat="1" applyFont="1" applyFill="1" applyBorder="1" applyAlignment="1">
      <alignment horizontal="center" vertical="center"/>
    </xf>
    <xf numFmtId="0" fontId="3" fillId="8" borderId="1" xfId="1" applyFont="1" applyFill="1" applyBorder="1" applyAlignment="1">
      <alignment horizontal="left" vertical="center"/>
    </xf>
    <xf numFmtId="0" fontId="3" fillId="8" borderId="1" xfId="1" applyFont="1" applyFill="1" applyBorder="1" applyAlignment="1">
      <alignment vertical="center"/>
    </xf>
    <xf numFmtId="2" fontId="3" fillId="0" borderId="1" xfId="1" applyNumberFormat="1" applyFont="1" applyBorder="1" applyAlignment="1">
      <alignment horizontal="center" vertical="center"/>
    </xf>
    <xf numFmtId="0" fontId="3" fillId="6" borderId="1" xfId="1" applyFont="1" applyFill="1" applyBorder="1" applyAlignment="1">
      <alignment vertical="center"/>
    </xf>
    <xf numFmtId="0" fontId="3" fillId="0" borderId="1" xfId="1" quotePrefix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1" quotePrefix="1" applyFont="1" applyAlignment="1">
      <alignment horizontal="center" vertical="center"/>
    </xf>
    <xf numFmtId="0" fontId="2" fillId="2" borderId="10" xfId="1" applyFont="1" applyFill="1" applyBorder="1" applyAlignment="1">
      <alignment horizontal="center" vertical="center"/>
    </xf>
    <xf numFmtId="0" fontId="2" fillId="2" borderId="1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vertical="center" wrapText="1"/>
    </xf>
    <xf numFmtId="0" fontId="3" fillId="0" borderId="0" xfId="1" applyFont="1" applyAlignment="1">
      <alignment wrapText="1"/>
    </xf>
    <xf numFmtId="0" fontId="3" fillId="0" borderId="0" xfId="1" applyFont="1" applyAlignment="1">
      <alignment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/>
    </xf>
    <xf numFmtId="16" fontId="3" fillId="9" borderId="1" xfId="0" applyNumberFormat="1" applyFont="1" applyFill="1" applyBorder="1" applyAlignment="1">
      <alignment horizontal="center" vertical="center"/>
    </xf>
    <xf numFmtId="0" fontId="3" fillId="10" borderId="1" xfId="1" applyFont="1" applyFill="1" applyBorder="1" applyAlignment="1">
      <alignment vertical="center"/>
    </xf>
    <xf numFmtId="164" fontId="3" fillId="10" borderId="1" xfId="1" applyNumberFormat="1" applyFont="1" applyFill="1" applyBorder="1" applyAlignment="1">
      <alignment horizontal="center" vertical="center"/>
    </xf>
    <xf numFmtId="165" fontId="3" fillId="10" borderId="1" xfId="1" applyNumberFormat="1" applyFont="1" applyFill="1" applyBorder="1" applyAlignment="1">
      <alignment horizontal="center" vertical="center"/>
    </xf>
    <xf numFmtId="18" fontId="3" fillId="10" borderId="1" xfId="1" applyNumberFormat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3" fillId="0" borderId="4" xfId="1" quotePrefix="1" applyFont="1" applyBorder="1" applyAlignment="1">
      <alignment horizontal="right" vertical="center" wrapText="1"/>
    </xf>
    <xf numFmtId="0" fontId="3" fillId="0" borderId="5" xfId="1" applyFont="1" applyBorder="1" applyAlignment="1">
      <alignment horizontal="right" vertical="center" wrapText="1"/>
    </xf>
    <xf numFmtId="0" fontId="3" fillId="0" borderId="4" xfId="0" applyFont="1" applyBorder="1" applyAlignment="1">
      <alignment horizontal="right" vertical="center" wrapText="1"/>
    </xf>
    <xf numFmtId="0" fontId="3" fillId="0" borderId="6" xfId="0" applyFont="1" applyBorder="1" applyAlignment="1">
      <alignment horizontal="right" vertical="center" wrapText="1"/>
    </xf>
    <xf numFmtId="0" fontId="3" fillId="0" borderId="5" xfId="0" applyFont="1" applyBorder="1" applyAlignment="1">
      <alignment horizontal="right" vertical="center" wrapText="1"/>
    </xf>
  </cellXfs>
  <cellStyles count="3">
    <cellStyle name="Hyperlink" xfId="2" builtinId="8"/>
    <cellStyle name="Normal" xfId="0" builtinId="0"/>
    <cellStyle name="Normal 2" xfId="1" xr:uid="{1EAD90B0-298D-4997-8DAB-38D8FA31846E}"/>
  </cellStyles>
  <dxfs count="2">
    <dxf>
      <fill>
        <patternFill>
          <bgColor theme="3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3D3E8-E652-48CC-B8BF-6AC3A51298BA}">
  <sheetPr>
    <pageSetUpPr fitToPage="1"/>
  </sheetPr>
  <dimension ref="A1:IW32"/>
  <sheetViews>
    <sheetView zoomScale="90" zoomScaleNormal="9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F14" sqref="F14"/>
    </sheetView>
  </sheetViews>
  <sheetFormatPr defaultColWidth="9.1328125" defaultRowHeight="14.25" x14ac:dyDescent="0.45"/>
  <cols>
    <col min="1" max="1" width="5.86328125" style="24" customWidth="1"/>
    <col min="2" max="2" width="6.73046875" style="24" customWidth="1"/>
    <col min="3" max="3" width="10.73046875" style="33" customWidth="1"/>
    <col min="4" max="4" width="9.1328125" style="24"/>
    <col min="5" max="5" width="2.73046875" style="5" customWidth="1"/>
    <col min="6" max="6" width="18.73046875" style="5" customWidth="1"/>
    <col min="7" max="7" width="4.73046875" style="24" customWidth="1"/>
    <col min="8" max="8" width="4.73046875" style="5" customWidth="1"/>
    <col min="9" max="9" width="18.73046875" style="5" customWidth="1"/>
    <col min="10" max="11" width="4.73046875" style="5" customWidth="1"/>
    <col min="12" max="12" width="18.59765625" style="5" bestFit="1" customWidth="1"/>
    <col min="13" max="13" width="16.73046875" style="61" customWidth="1"/>
    <col min="14" max="14" width="21.86328125" style="5" hidden="1" customWidth="1"/>
    <col min="15" max="15" width="2.73046875" style="5" hidden="1" customWidth="1"/>
    <col min="16" max="16" width="5.265625" style="5" hidden="1" customWidth="1"/>
    <col min="17" max="17" width="2.73046875" style="5" hidden="1" customWidth="1"/>
    <col min="18" max="18" width="14.73046875" style="24" hidden="1" customWidth="1"/>
    <col min="19" max="20" width="2.73046875" style="24" hidden="1" customWidth="1"/>
    <col min="21" max="21" width="14.73046875" style="24" hidden="1" customWidth="1"/>
    <col min="22" max="22" width="6.59765625" style="5" customWidth="1"/>
    <col min="23" max="23" width="4.73046875" style="24" customWidth="1"/>
    <col min="24" max="24" width="16.73046875" style="5" customWidth="1"/>
    <col min="25" max="25" width="16.73046875" style="24" hidden="1" customWidth="1"/>
    <col min="26" max="26" width="18.59765625" style="5" bestFit="1" customWidth="1"/>
    <col min="27" max="27" width="5" style="5" bestFit="1" customWidth="1"/>
    <col min="28" max="16384" width="9.1328125" style="16"/>
  </cols>
  <sheetData>
    <row r="1" spans="1:257" s="7" customFormat="1" x14ac:dyDescent="0.45">
      <c r="A1" s="1" t="s">
        <v>0</v>
      </c>
      <c r="B1" s="1" t="s">
        <v>1</v>
      </c>
      <c r="C1" s="1" t="s">
        <v>2</v>
      </c>
      <c r="D1" s="1" t="s">
        <v>3</v>
      </c>
      <c r="E1" s="2"/>
      <c r="F1" s="69" t="s">
        <v>4</v>
      </c>
      <c r="G1" s="69"/>
      <c r="H1" s="69"/>
      <c r="I1" s="69"/>
      <c r="J1" s="69"/>
      <c r="K1" s="3"/>
      <c r="L1" s="1" t="s">
        <v>5</v>
      </c>
      <c r="M1" s="58" t="s">
        <v>6</v>
      </c>
      <c r="N1" s="1" t="s">
        <v>7</v>
      </c>
      <c r="O1" s="4"/>
      <c r="P1" s="1" t="s">
        <v>8</v>
      </c>
      <c r="Q1" s="4"/>
      <c r="R1" s="69" t="s">
        <v>9</v>
      </c>
      <c r="S1" s="69"/>
      <c r="T1" s="69"/>
      <c r="U1" s="69"/>
      <c r="V1" s="5"/>
      <c r="W1" s="6" t="s">
        <v>10</v>
      </c>
      <c r="X1" s="6" t="s">
        <v>11</v>
      </c>
      <c r="Y1" s="6" t="s">
        <v>12</v>
      </c>
      <c r="Z1" s="6" t="s">
        <v>13</v>
      </c>
      <c r="AA1" s="6" t="s">
        <v>14</v>
      </c>
      <c r="AB1" s="5"/>
    </row>
    <row r="2" spans="1:257" ht="26.25" x14ac:dyDescent="0.45">
      <c r="A2" s="2">
        <v>1</v>
      </c>
      <c r="B2" s="8">
        <f>+C2</f>
        <v>45823</v>
      </c>
      <c r="C2" s="9">
        <v>45823</v>
      </c>
      <c r="D2" s="10">
        <v>0.6875</v>
      </c>
      <c r="E2" s="2"/>
      <c r="F2" s="11" t="str">
        <f>+R2</f>
        <v>Great Valley</v>
      </c>
      <c r="G2" s="2">
        <v>5</v>
      </c>
      <c r="H2" s="2" t="s">
        <v>15</v>
      </c>
      <c r="I2" s="11" t="str">
        <f>+U2</f>
        <v>Lower Merion</v>
      </c>
      <c r="J2" s="2">
        <v>15</v>
      </c>
      <c r="K2" s="3"/>
      <c r="L2" s="3" t="s">
        <v>59</v>
      </c>
      <c r="M2" s="62" t="s">
        <v>17</v>
      </c>
      <c r="N2" s="3"/>
      <c r="O2" s="12"/>
      <c r="P2" s="2">
        <f>+G2+J2</f>
        <v>20</v>
      </c>
      <c r="Q2" s="12"/>
      <c r="R2" s="2" t="str">
        <f>+X2</f>
        <v>Great Valley</v>
      </c>
      <c r="S2" s="2"/>
      <c r="T2" s="2"/>
      <c r="U2" s="2" t="str">
        <f>+X3</f>
        <v>Lower Merion</v>
      </c>
      <c r="V2" s="12"/>
      <c r="W2" s="2">
        <v>1</v>
      </c>
      <c r="X2" s="13" t="str">
        <f>VLOOKUP($W2,'D27'!$L$13:$Q$16,2,FALSE)</f>
        <v>Great Valley</v>
      </c>
      <c r="Y2" s="14" t="str">
        <f>VLOOKUP($W2,'D27'!$L$13:$Q$16,3,FALSE)</f>
        <v>GV-D27-BBSR</v>
      </c>
      <c r="Z2" s="15" t="str">
        <f>VLOOKUP($W2,'D27'!$L$13:$Q$16,6,FALSE)</f>
        <v>GV-King Road</v>
      </c>
      <c r="AA2" s="2">
        <f>IF(Z2="","",COUNTIF($L$2:$L$15,$Z2))</f>
        <v>1</v>
      </c>
    </row>
    <row r="3" spans="1:257" ht="26.25" x14ac:dyDescent="0.45">
      <c r="A3" s="2">
        <v>2</v>
      </c>
      <c r="B3" s="8">
        <f>+C3</f>
        <v>45823</v>
      </c>
      <c r="C3" s="9">
        <v>45823</v>
      </c>
      <c r="D3" s="10">
        <v>0.58333333333333337</v>
      </c>
      <c r="E3" s="2"/>
      <c r="F3" s="11" t="str">
        <f>+R3</f>
        <v>Lower Perk</v>
      </c>
      <c r="G3" s="2">
        <v>3</v>
      </c>
      <c r="H3" s="2" t="s">
        <v>15</v>
      </c>
      <c r="I3" s="11" t="str">
        <f>+U3</f>
        <v>Chester Valley</v>
      </c>
      <c r="J3" s="2">
        <v>14</v>
      </c>
      <c r="K3" s="3"/>
      <c r="L3" s="3" t="s">
        <v>59</v>
      </c>
      <c r="M3" s="62" t="s">
        <v>17</v>
      </c>
      <c r="N3" s="3"/>
      <c r="O3" s="12"/>
      <c r="P3" s="2">
        <f t="shared" ref="P3" si="0">+G3+J3</f>
        <v>17</v>
      </c>
      <c r="Q3" s="12"/>
      <c r="R3" s="2" t="str">
        <f>+X4</f>
        <v>Lower Perk</v>
      </c>
      <c r="S3" s="2"/>
      <c r="T3" s="2"/>
      <c r="U3" s="2" t="str">
        <f>+X5</f>
        <v>Chester Valley</v>
      </c>
      <c r="V3" s="12"/>
      <c r="W3" s="2">
        <f>+W2+1</f>
        <v>2</v>
      </c>
      <c r="X3" s="13" t="str">
        <f>VLOOKUP($W3,'D27'!$L$13:$Q$16,2,FALSE)</f>
        <v>Lower Merion</v>
      </c>
      <c r="Y3" s="14" t="str">
        <f>VLOOKUP($W3,'D27'!$L$13:$Q$16,3,FALSE)</f>
        <v>LM-D27-BBSR</v>
      </c>
      <c r="Z3" s="15" t="str">
        <f>VLOOKUP($W3,'D27'!$L$13:$Q$16,6,FALSE)</f>
        <v>LM-S. Ardmore Park</v>
      </c>
      <c r="AA3" s="2">
        <f>IF(Z3="","",COUNTIF($L$2:$L$15,$Z3))</f>
        <v>3</v>
      </c>
    </row>
    <row r="4" spans="1:257" s="19" customFormat="1" x14ac:dyDescent="0.45">
      <c r="A4" s="2"/>
      <c r="B4" s="8"/>
      <c r="C4" s="9"/>
      <c r="D4" s="10"/>
      <c r="E4" s="2"/>
      <c r="F4" s="3"/>
      <c r="G4" s="2"/>
      <c r="H4" s="2"/>
      <c r="I4" s="3"/>
      <c r="J4" s="2"/>
      <c r="K4" s="3"/>
      <c r="L4" s="3"/>
      <c r="M4" s="59"/>
      <c r="N4" s="3"/>
      <c r="O4" s="17"/>
      <c r="P4" s="2"/>
      <c r="Q4" s="12"/>
      <c r="R4" s="2"/>
      <c r="S4" s="2"/>
      <c r="T4" s="2"/>
      <c r="U4" s="2"/>
      <c r="V4" s="12"/>
      <c r="W4" s="2">
        <f t="shared" ref="W4:W5" si="1">+W3+1</f>
        <v>3</v>
      </c>
      <c r="X4" s="13" t="str">
        <f>VLOOKUP($W4,'D27'!$L$13:$Q$16,2,FALSE)</f>
        <v>Lower Perk</v>
      </c>
      <c r="Y4" s="14" t="str">
        <f>VLOOKUP($W4,'D27'!$L$13:$Q$16,3,FALSE)</f>
        <v>LP-D27-BBSR</v>
      </c>
      <c r="Z4" s="15" t="str">
        <f>VLOOKUP($W4,'D27'!$L$13:$Q$16,6,FALSE)</f>
        <v>LP-French Field</v>
      </c>
      <c r="AA4" s="2">
        <f>IF(Z4="","",COUNTIF($L$2:$L$15,$Z4))</f>
        <v>0</v>
      </c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spans="1:257" s="19" customFormat="1" ht="26.25" x14ac:dyDescent="0.45">
      <c r="A5" s="2">
        <v>3</v>
      </c>
      <c r="B5" s="8">
        <f>+C5</f>
        <v>45825</v>
      </c>
      <c r="C5" s="9">
        <v>45825</v>
      </c>
      <c r="D5" s="10">
        <v>0.72916666666666663</v>
      </c>
      <c r="E5" s="2"/>
      <c r="F5" s="3" t="str" cm="1">
        <f t="array" aca="1" ref="F5" ca="1">IF((INDIRECT("SCHEDULE!P"&amp;S5))&gt;0,(IF((INDIRECT("SCHEDULE!G"&amp;S5))&gt;(INDIRECT("SCHEDULE!J"&amp;S5)),(INDIRECT("SCHEDULE!F"&amp;S5)),(INDIRECT("SCHEDULE!I"&amp;S5)))),R5)</f>
        <v>Lower Merion</v>
      </c>
      <c r="G5" s="2">
        <v>12</v>
      </c>
      <c r="H5" s="2" t="s">
        <v>15</v>
      </c>
      <c r="I5" s="3" t="str" cm="1">
        <f t="array" aca="1" ref="I5" ca="1">IF((INDIRECT("SCHEDULE!P"&amp;T5))&gt;0,(IF((INDIRECT("SCHEDULE!G"&amp;T5))&gt;(INDIRECT("SCHEDULE!J"&amp;T5)),(INDIRECT("SCHEDULE!F"&amp;T5)),(INDIRECT("SCHEDULE!I"&amp;T5)))),U5)</f>
        <v>Chester Valley</v>
      </c>
      <c r="J5" s="2">
        <v>3</v>
      </c>
      <c r="K5" s="3"/>
      <c r="L5" s="65" t="s">
        <v>27</v>
      </c>
      <c r="M5" s="62" t="s">
        <v>17</v>
      </c>
      <c r="N5" s="3"/>
      <c r="O5" s="17"/>
      <c r="P5" s="2">
        <f t="shared" ref="P5:P6" si="2">+G5+J5</f>
        <v>15</v>
      </c>
      <c r="Q5" s="12"/>
      <c r="R5" s="2" t="s">
        <v>19</v>
      </c>
      <c r="S5" s="2">
        <v>2</v>
      </c>
      <c r="T5" s="2">
        <v>3</v>
      </c>
      <c r="U5" s="2" t="s">
        <v>20</v>
      </c>
      <c r="V5" s="12"/>
      <c r="W5" s="2">
        <f t="shared" si="1"/>
        <v>4</v>
      </c>
      <c r="X5" s="13" t="str">
        <f>VLOOKUP($W5,'D27'!$L$13:$Q$16,2,FALSE)</f>
        <v>Chester Valley</v>
      </c>
      <c r="Y5" s="14" t="str">
        <f>VLOOKUP($W5,'D27'!$L$13:$Q$16,3,FALSE)</f>
        <v>CV-D27-BBSR</v>
      </c>
      <c r="Z5" s="15" t="str">
        <f>VLOOKUP($W5,'D27'!$L$13:$Q$16,6,FALSE)</f>
        <v>CV-Monument Park</v>
      </c>
      <c r="AA5" s="2">
        <f>IF(Z5="","",COUNTIF($L$2:$L$15,$Z5))</f>
        <v>3</v>
      </c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spans="1:257" s="19" customFormat="1" ht="26.25" x14ac:dyDescent="0.45">
      <c r="A6" s="2">
        <v>4</v>
      </c>
      <c r="B6" s="8">
        <f>+C6</f>
        <v>45825</v>
      </c>
      <c r="C6" s="9">
        <v>45825</v>
      </c>
      <c r="D6" s="10">
        <v>0.72916666666666663</v>
      </c>
      <c r="E6" s="2"/>
      <c r="F6" s="3" t="str" cm="1">
        <f t="array" aca="1" ref="F6" ca="1">IF((INDIRECT("SCHEDULE!P"&amp;S6))&gt;0,(IF((INDIRECT("SCHEDULE!G"&amp;S6))&lt;(INDIRECT("SCHEDULE!J"&amp;S6)),(INDIRECT("SCHEDULE!F"&amp;S6)),(INDIRECT("SCHEDULE!I"&amp;S6)))),R6)</f>
        <v>Great Valley</v>
      </c>
      <c r="G6" s="2">
        <v>13</v>
      </c>
      <c r="H6" s="2" t="s">
        <v>15</v>
      </c>
      <c r="I6" s="3" t="str" cm="1">
        <f t="array" aca="1" ref="I6" ca="1">IF((INDIRECT("SCHEDULE!P"&amp;T6))&gt;0,(IF((INDIRECT("SCHEDULE!G"&amp;T6))&lt;(INDIRECT("SCHEDULE!J"&amp;T6)),(INDIRECT("SCHEDULE!F"&amp;T6)),(INDIRECT("SCHEDULE!I"&amp;T6)))),U6)</f>
        <v>Lower Perk</v>
      </c>
      <c r="J6" s="2">
        <v>3</v>
      </c>
      <c r="K6" s="3"/>
      <c r="L6" s="3" t="s">
        <v>18</v>
      </c>
      <c r="M6" s="62" t="s">
        <v>17</v>
      </c>
      <c r="N6" s="3"/>
      <c r="O6" s="17"/>
      <c r="P6" s="2">
        <f t="shared" si="2"/>
        <v>16</v>
      </c>
      <c r="Q6" s="12"/>
      <c r="R6" s="2" t="s">
        <v>22</v>
      </c>
      <c r="S6" s="2">
        <v>2</v>
      </c>
      <c r="T6" s="2">
        <v>3</v>
      </c>
      <c r="U6" s="2" t="s">
        <v>23</v>
      </c>
      <c r="V6" s="12"/>
      <c r="W6" s="2"/>
      <c r="X6" s="20"/>
      <c r="Y6" s="20"/>
      <c r="Z6" s="20"/>
      <c r="AA6" s="2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spans="1:257" s="19" customFormat="1" x14ac:dyDescent="0.45">
      <c r="A7" s="2"/>
      <c r="B7" s="8"/>
      <c r="C7" s="9"/>
      <c r="D7" s="10"/>
      <c r="E7" s="2"/>
      <c r="F7" s="3"/>
      <c r="G7" s="2"/>
      <c r="H7" s="2"/>
      <c r="I7" s="3"/>
      <c r="J7" s="2"/>
      <c r="K7" s="3"/>
      <c r="L7" s="3"/>
      <c r="M7" s="59"/>
      <c r="N7" s="3"/>
      <c r="O7" s="17"/>
      <c r="P7" s="2"/>
      <c r="Q7" s="12"/>
      <c r="R7" s="2"/>
      <c r="S7" s="2"/>
      <c r="T7" s="2"/>
      <c r="U7" s="2"/>
      <c r="V7" s="12"/>
      <c r="W7" s="2"/>
      <c r="X7" s="20"/>
      <c r="Y7" s="20"/>
      <c r="Z7" s="20"/>
      <c r="AA7" s="2" t="str">
        <f>IF(Z7="","",COUNTIF($L$2:$L$15,$Z7))</f>
        <v/>
      </c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8"/>
      <c r="IU7" s="18"/>
      <c r="IV7" s="18"/>
      <c r="IW7" s="18"/>
    </row>
    <row r="8" spans="1:257" s="19" customFormat="1" ht="26.25" x14ac:dyDescent="0.45">
      <c r="A8" s="2">
        <v>5</v>
      </c>
      <c r="B8" s="66">
        <f>+C8</f>
        <v>45829</v>
      </c>
      <c r="C8" s="67">
        <v>45829</v>
      </c>
      <c r="D8" s="68">
        <v>0.41666666666666669</v>
      </c>
      <c r="E8" s="2"/>
      <c r="F8" s="3" t="str" cm="1">
        <f t="array" aca="1" ref="F8" ca="1">IF((INDIRECT("SCHEDULE!P"&amp;S8))&gt;0,(IF((INDIRECT("SCHEDULE!G"&amp;S8))&gt;(INDIRECT("SCHEDULE!J"&amp;S8)),(INDIRECT("SCHEDULE!F"&amp;S8)),(INDIRECT("SCHEDULE!I"&amp;S8)))),R8)</f>
        <v>Great Valley</v>
      </c>
      <c r="G8" s="2">
        <v>4</v>
      </c>
      <c r="H8" s="2" t="s">
        <v>15</v>
      </c>
      <c r="I8" s="3" t="str" cm="1">
        <f t="array" aca="1" ref="I8" ca="1">IF((INDIRECT("SCHEDULE!P"&amp;T8))&gt;0,(IF((INDIRECT("SCHEDULE!G"&amp;T8))&lt;(INDIRECT("SCHEDULE!J"&amp;T8)),(INDIRECT("SCHEDULE!F"&amp;T8)),(INDIRECT("SCHEDULE!I"&amp;T8)))),U8)</f>
        <v>Chester Valley</v>
      </c>
      <c r="J8" s="2">
        <v>16</v>
      </c>
      <c r="K8" s="3"/>
      <c r="L8" s="65" t="s">
        <v>27</v>
      </c>
      <c r="M8" s="62" t="s">
        <v>17</v>
      </c>
      <c r="N8" s="3"/>
      <c r="O8" s="18"/>
      <c r="P8" s="2">
        <f t="shared" ref="P8" si="3">+G8+J8</f>
        <v>20</v>
      </c>
      <c r="Q8" s="12"/>
      <c r="R8" s="2" t="s">
        <v>24</v>
      </c>
      <c r="S8" s="2">
        <v>6</v>
      </c>
      <c r="T8" s="2">
        <v>5</v>
      </c>
      <c r="U8" s="2" t="s">
        <v>25</v>
      </c>
      <c r="V8" s="12"/>
      <c r="W8" s="2"/>
      <c r="X8" s="20"/>
      <c r="Y8" s="20"/>
      <c r="Z8" s="20"/>
      <c r="AA8" s="2" t="str">
        <f>IF(Z8="","",COUNTIF($L$2:$L$15,$Z8))</f>
        <v/>
      </c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18"/>
      <c r="IQ8" s="18"/>
      <c r="IR8" s="18"/>
      <c r="IS8" s="18"/>
      <c r="IT8" s="18"/>
      <c r="IU8" s="18"/>
      <c r="IV8" s="18"/>
      <c r="IW8" s="18"/>
    </row>
    <row r="9" spans="1:257" s="19" customFormat="1" x14ac:dyDescent="0.45">
      <c r="A9" s="2"/>
      <c r="B9" s="8"/>
      <c r="C9" s="9"/>
      <c r="D9" s="10"/>
      <c r="E9" s="2"/>
      <c r="F9" s="3"/>
      <c r="G9" s="2"/>
      <c r="H9" s="2"/>
      <c r="I9" s="3"/>
      <c r="J9" s="2"/>
      <c r="K9" s="3"/>
      <c r="L9" s="3"/>
      <c r="M9" s="59"/>
      <c r="N9" s="3"/>
      <c r="O9" s="18"/>
      <c r="P9" s="2"/>
      <c r="Q9" s="12"/>
      <c r="R9" s="2"/>
      <c r="S9" s="2"/>
      <c r="T9" s="2"/>
      <c r="U9" s="2"/>
      <c r="V9" s="12"/>
      <c r="W9" s="2"/>
      <c r="X9" s="20" t="s">
        <v>26</v>
      </c>
      <c r="Y9" s="20"/>
      <c r="Z9" s="20"/>
      <c r="AA9" s="21">
        <f>SUM(AA2:AA8)</f>
        <v>7</v>
      </c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  <c r="IJ9" s="18"/>
      <c r="IK9" s="18"/>
      <c r="IL9" s="18"/>
      <c r="IM9" s="18"/>
      <c r="IN9" s="18"/>
      <c r="IO9" s="18"/>
      <c r="IP9" s="18"/>
      <c r="IQ9" s="18"/>
      <c r="IR9" s="18"/>
      <c r="IS9" s="18"/>
      <c r="IT9" s="18"/>
      <c r="IU9" s="18"/>
      <c r="IV9" s="18"/>
      <c r="IW9" s="18"/>
    </row>
    <row r="10" spans="1:257" s="19" customFormat="1" ht="26.25" x14ac:dyDescent="0.45">
      <c r="A10" s="2">
        <v>6</v>
      </c>
      <c r="B10" s="66">
        <f>+C10</f>
        <v>45830</v>
      </c>
      <c r="C10" s="67">
        <v>45830</v>
      </c>
      <c r="D10" s="68">
        <v>0.625</v>
      </c>
      <c r="E10" s="2"/>
      <c r="F10" s="3" t="str" cm="1">
        <f t="array" aca="1" ref="F10" ca="1">IF((INDIRECT("SCHEDULE!P"&amp;S10))&gt;0,(IF((INDIRECT("SCHEDULE!G"&amp;S10))&gt;(INDIRECT("SCHEDULE!J"&amp;S10)),(INDIRECT("SCHEDULE!F"&amp;S10)),(INDIRECT("SCHEDULE!I"&amp;S10)))),R10)</f>
        <v>Lower Merion</v>
      </c>
      <c r="G10" s="2">
        <v>5</v>
      </c>
      <c r="H10" s="2" t="s">
        <v>15</v>
      </c>
      <c r="I10" s="3" t="str" cm="1">
        <f t="array" aca="1" ref="I10" ca="1">IF((INDIRECT("SCHEDULE!P"&amp;T10))&gt;0,(IF((INDIRECT("SCHEDULE!G"&amp;T10))&gt;(INDIRECT("SCHEDULE!J"&amp;T10)),(INDIRECT("SCHEDULE!F"&amp;T10)),(INDIRECT("SCHEDULE!I"&amp;T10)))),U10)</f>
        <v>Chester Valley</v>
      </c>
      <c r="J10" s="2">
        <v>8</v>
      </c>
      <c r="K10" s="3"/>
      <c r="L10" s="3" t="s">
        <v>27</v>
      </c>
      <c r="M10" s="62" t="s">
        <v>17</v>
      </c>
      <c r="N10" s="3"/>
      <c r="O10" s="18"/>
      <c r="P10" s="2">
        <f t="shared" ref="P10" si="4">+G10+J10</f>
        <v>13</v>
      </c>
      <c r="Q10" s="12"/>
      <c r="R10" s="2" t="s">
        <v>28</v>
      </c>
      <c r="S10" s="2">
        <v>5</v>
      </c>
      <c r="T10" s="2">
        <v>8</v>
      </c>
      <c r="U10" s="2" t="s">
        <v>29</v>
      </c>
      <c r="V10" s="12"/>
      <c r="W10" s="24"/>
      <c r="X10" s="24"/>
      <c r="Y10" s="24"/>
      <c r="Z10" s="24"/>
      <c r="AA10" s="24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spans="1:257" s="19" customFormat="1" x14ac:dyDescent="0.45">
      <c r="A11" s="2"/>
      <c r="B11" s="8"/>
      <c r="C11" s="9"/>
      <c r="D11" s="10"/>
      <c r="E11" s="2"/>
      <c r="F11" s="3"/>
      <c r="G11" s="2"/>
      <c r="H11" s="2"/>
      <c r="I11" s="3"/>
      <c r="J11" s="2"/>
      <c r="K11" s="3"/>
      <c r="L11" s="3"/>
      <c r="M11" s="59"/>
      <c r="N11" s="3"/>
      <c r="O11" s="18"/>
      <c r="P11" s="2"/>
      <c r="Q11" s="12"/>
      <c r="R11" s="2"/>
      <c r="S11" s="2"/>
      <c r="T11" s="2"/>
      <c r="U11" s="2"/>
      <c r="V11" s="12"/>
      <c r="W11" s="24"/>
      <c r="X11" s="24"/>
      <c r="Y11" s="24"/>
      <c r="Z11" s="24"/>
      <c r="AA11" s="24"/>
      <c r="AB11" s="24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  <c r="IJ11" s="18"/>
      <c r="IK11" s="18"/>
      <c r="IL11" s="18"/>
      <c r="IM11" s="18"/>
      <c r="IN11" s="18"/>
      <c r="IO11" s="18"/>
      <c r="IP11" s="18"/>
      <c r="IQ11" s="18"/>
      <c r="IR11" s="18"/>
      <c r="IS11" s="18"/>
      <c r="IT11" s="18"/>
      <c r="IU11" s="18"/>
      <c r="IV11" s="18"/>
      <c r="IW11" s="18"/>
    </row>
    <row r="12" spans="1:257" s="19" customFormat="1" ht="26.25" x14ac:dyDescent="0.45">
      <c r="A12" s="2">
        <v>7</v>
      </c>
      <c r="B12" s="66">
        <f>+C12</f>
        <v>45831</v>
      </c>
      <c r="C12" s="67">
        <v>45831</v>
      </c>
      <c r="D12" s="68">
        <v>0.72916666666666663</v>
      </c>
      <c r="E12" s="2"/>
      <c r="F12" s="3" t="str" cm="1">
        <f t="array" aca="1" ref="F12" ca="1">IF((INDIRECT("SCHEDULE!P"&amp;S12))&gt;0,(IF((INDIRECT("SCHEDULE!G"&amp;S12))&gt;(INDIRECT("SCHEDULE!J"&amp;S12)),(INDIRECT("SCHEDULE!F"&amp;S12)),(INDIRECT("SCHEDULE!I"&amp;S12)))),R12)</f>
        <v>Chester Valley</v>
      </c>
      <c r="G12" s="2">
        <v>5</v>
      </c>
      <c r="H12" s="2" t="s">
        <v>15</v>
      </c>
      <c r="I12" s="3" t="str" cm="1">
        <f t="array" aca="1" ref="I12" ca="1">IF((INDIRECT("SCHEDULE!P"&amp;T12))&gt;0,(IF((INDIRECT("SCHEDULE!G"&amp;T12))&lt;(INDIRECT("SCHEDULE!J"&amp;T12)),(INDIRECT("SCHEDULE!F"&amp;T12)),"Not Necessary")),U12)</f>
        <v>Lower Merion</v>
      </c>
      <c r="J12" s="2">
        <v>0</v>
      </c>
      <c r="K12" s="3"/>
      <c r="L12" s="65" t="s">
        <v>59</v>
      </c>
      <c r="M12" s="62" t="s">
        <v>17</v>
      </c>
      <c r="N12" s="3"/>
      <c r="O12" s="18"/>
      <c r="P12" s="2">
        <f t="shared" ref="P12" si="5">+G12+J12</f>
        <v>5</v>
      </c>
      <c r="Q12" s="12"/>
      <c r="R12" s="2" t="s">
        <v>30</v>
      </c>
      <c r="S12" s="2">
        <v>10</v>
      </c>
      <c r="T12" s="2">
        <v>10</v>
      </c>
      <c r="U12" s="2" t="s">
        <v>31</v>
      </c>
      <c r="V12" s="12"/>
      <c r="W12" s="24"/>
      <c r="X12" s="24"/>
      <c r="Y12" s="24"/>
      <c r="Z12" s="24"/>
      <c r="AA12" s="24"/>
      <c r="AB12" s="24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  <c r="IV12" s="18"/>
      <c r="IW12" s="18"/>
    </row>
    <row r="13" spans="1:257" s="19" customFormat="1" x14ac:dyDescent="0.45">
      <c r="A13" s="2"/>
      <c r="B13" s="8"/>
      <c r="C13" s="9"/>
      <c r="D13" s="10"/>
      <c r="E13" s="2"/>
      <c r="F13" s="3"/>
      <c r="G13" s="2"/>
      <c r="H13" s="2"/>
      <c r="I13" s="3"/>
      <c r="J13" s="2"/>
      <c r="K13" s="3"/>
      <c r="L13" s="3"/>
      <c r="M13" s="59"/>
      <c r="N13" s="3"/>
      <c r="O13" s="18"/>
      <c r="P13" s="2"/>
      <c r="Q13" s="12"/>
      <c r="R13" s="2"/>
      <c r="S13" s="2"/>
      <c r="T13" s="2"/>
      <c r="U13" s="2"/>
      <c r="V13" s="12"/>
      <c r="W13" s="24"/>
      <c r="X13" s="24"/>
      <c r="Y13" s="24"/>
      <c r="Z13" s="24"/>
      <c r="AA13" s="24"/>
      <c r="AB13" s="24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  <c r="IT13" s="18"/>
      <c r="IU13" s="18"/>
      <c r="IV13" s="18"/>
      <c r="IW13" s="18"/>
    </row>
    <row r="14" spans="1:257" s="19" customFormat="1" x14ac:dyDescent="0.45">
      <c r="A14" s="25" t="s">
        <v>32</v>
      </c>
      <c r="B14" s="26"/>
      <c r="C14" s="27"/>
      <c r="D14" s="28"/>
      <c r="E14" s="29"/>
      <c r="F14" s="30" t="str" cm="1">
        <f t="array" aca="1" ref="F14" ca="1">IF(INDIRECT("SCHEDULE!P"&amp;S14)&gt;0,IF(INDIRECT("SCHEDULE!G"&amp;S14)&gt;INDIRECT("SCHEDULE!J"&amp;S14),INDIRECT("SCHEDULE!F"&amp;S14),INDIRECT("SCHEDULE!I"&amp;S14)),IF(INDIRECT("SCHEDULE!P"&amp;T14)&gt;0,IF(INDIRECT("SCHEDULE!G"&amp;T14)&gt;INDIRECT("SCHEDULE!J"&amp;T14),INDIRECT("SCHEDULE!F"&amp;T14),R14),R14))</f>
        <v>Chester Valley</v>
      </c>
      <c r="G14" s="2"/>
      <c r="H14" s="2"/>
      <c r="I14" s="3"/>
      <c r="J14" s="2"/>
      <c r="K14" s="3"/>
      <c r="L14" s="3"/>
      <c r="M14" s="59"/>
      <c r="N14" s="3"/>
      <c r="O14" s="18"/>
      <c r="P14" s="2"/>
      <c r="Q14" s="12"/>
      <c r="R14" s="2" t="s">
        <v>32</v>
      </c>
      <c r="S14" s="2">
        <v>12</v>
      </c>
      <c r="T14" s="2">
        <v>10</v>
      </c>
      <c r="U14" s="2"/>
      <c r="V14" s="12"/>
      <c r="W14" s="24"/>
      <c r="X14" s="24"/>
      <c r="Y14" s="24"/>
      <c r="Z14" s="24"/>
      <c r="AA14" s="24"/>
      <c r="AB14" s="24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  <c r="IT14" s="18"/>
      <c r="IU14" s="18"/>
      <c r="IV14" s="18"/>
      <c r="IW14" s="18"/>
    </row>
    <row r="15" spans="1:257" s="19" customFormat="1" x14ac:dyDescent="0.45">
      <c r="A15" s="31"/>
      <c r="B15" s="31"/>
      <c r="C15" s="32"/>
      <c r="D15" s="31"/>
      <c r="E15" s="18"/>
      <c r="F15" s="18"/>
      <c r="G15" s="18"/>
      <c r="H15" s="18"/>
      <c r="I15" s="18"/>
      <c r="J15" s="18"/>
      <c r="K15" s="24"/>
      <c r="L15" s="18"/>
      <c r="M15" s="60"/>
      <c r="N15" s="18"/>
      <c r="O15" s="18"/>
      <c r="P15" s="5"/>
      <c r="Q15" s="18"/>
      <c r="R15" s="31"/>
      <c r="S15" s="31"/>
      <c r="T15" s="31"/>
      <c r="U15" s="31"/>
      <c r="V15" s="12"/>
      <c r="W15" s="24"/>
      <c r="X15" s="24"/>
      <c r="Y15" s="24"/>
      <c r="Z15" s="24"/>
      <c r="AA15" s="24"/>
      <c r="AB15" s="24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18"/>
      <c r="IU15" s="18"/>
      <c r="IV15" s="18"/>
      <c r="IW15" s="18"/>
    </row>
    <row r="16" spans="1:257" s="19" customFormat="1" x14ac:dyDescent="0.45">
      <c r="A16" s="31"/>
      <c r="B16" s="24"/>
      <c r="C16" s="32"/>
      <c r="D16" s="31"/>
      <c r="E16" s="18"/>
      <c r="F16" s="5"/>
      <c r="G16" s="24"/>
      <c r="H16" s="5"/>
      <c r="I16" s="5"/>
      <c r="J16" s="5"/>
      <c r="K16" s="24"/>
      <c r="L16" s="5"/>
      <c r="M16" s="61"/>
      <c r="N16" s="5"/>
      <c r="O16" s="18"/>
      <c r="P16" s="5"/>
      <c r="Q16" s="18"/>
      <c r="R16" s="31"/>
      <c r="S16" s="31"/>
      <c r="T16" s="31"/>
      <c r="U16" s="31"/>
      <c r="V16" s="12"/>
      <c r="W16" s="24"/>
      <c r="X16" s="24"/>
      <c r="Y16" s="24"/>
      <c r="Z16" s="24"/>
      <c r="AA16" s="24"/>
      <c r="AB16" s="24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  <c r="IT16" s="18"/>
      <c r="IU16" s="18"/>
      <c r="IV16" s="18"/>
      <c r="IW16" s="18"/>
    </row>
    <row r="17" spans="1:257" s="19" customFormat="1" x14ac:dyDescent="0.45">
      <c r="A17" s="31"/>
      <c r="B17" s="24"/>
      <c r="C17" s="32"/>
      <c r="D17" s="31"/>
      <c r="E17" s="18"/>
      <c r="F17" s="5"/>
      <c r="G17" s="24"/>
      <c r="H17" s="5"/>
      <c r="I17" s="5"/>
      <c r="J17" s="5"/>
      <c r="K17" s="24"/>
      <c r="L17" s="5"/>
      <c r="M17" s="61"/>
      <c r="N17" s="5"/>
      <c r="O17" s="18"/>
      <c r="P17" s="5"/>
      <c r="Q17" s="18"/>
      <c r="R17" s="31"/>
      <c r="S17" s="31"/>
      <c r="T17" s="31"/>
      <c r="U17" s="31"/>
      <c r="V17" s="12"/>
      <c r="W17" s="24"/>
      <c r="X17" s="24"/>
      <c r="Y17" s="24"/>
      <c r="Z17" s="24"/>
      <c r="AA17" s="24"/>
      <c r="AB17" s="24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  <c r="IU17" s="18"/>
      <c r="IV17" s="18"/>
      <c r="IW17" s="18"/>
    </row>
    <row r="18" spans="1:257" s="19" customFormat="1" x14ac:dyDescent="0.45">
      <c r="A18" s="31"/>
      <c r="B18" s="24"/>
      <c r="C18" s="32"/>
      <c r="D18" s="31"/>
      <c r="E18" s="18"/>
      <c r="F18" s="5"/>
      <c r="G18" s="24"/>
      <c r="H18" s="5"/>
      <c r="I18" s="5"/>
      <c r="J18" s="5"/>
      <c r="K18" s="24"/>
      <c r="L18" s="5"/>
      <c r="M18" s="61"/>
      <c r="N18" s="5"/>
      <c r="O18" s="18"/>
      <c r="P18" s="5"/>
      <c r="Q18" s="18"/>
      <c r="R18" s="31"/>
      <c r="S18" s="31"/>
      <c r="T18" s="31"/>
      <c r="U18" s="31"/>
      <c r="V18" s="12"/>
      <c r="W18" s="24"/>
      <c r="X18" s="24"/>
      <c r="Y18" s="24"/>
      <c r="Z18" s="24"/>
      <c r="AA18" s="24"/>
      <c r="AB18" s="24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  <c r="IW18" s="18"/>
    </row>
    <row r="19" spans="1:257" s="19" customFormat="1" x14ac:dyDescent="0.45">
      <c r="A19" s="31"/>
      <c r="B19" s="24"/>
      <c r="C19" s="32"/>
      <c r="D19" s="31"/>
      <c r="E19" s="18"/>
      <c r="F19" s="5"/>
      <c r="G19" s="24"/>
      <c r="H19" s="5"/>
      <c r="I19" s="5"/>
      <c r="J19" s="5"/>
      <c r="K19" s="24"/>
      <c r="L19" s="5"/>
      <c r="M19" s="61"/>
      <c r="N19" s="5"/>
      <c r="O19" s="18"/>
      <c r="P19" s="5"/>
      <c r="Q19" s="18"/>
      <c r="R19" s="31"/>
      <c r="S19" s="31"/>
      <c r="T19" s="31"/>
      <c r="U19" s="31"/>
      <c r="V19" s="12"/>
      <c r="W19" s="24"/>
      <c r="X19" s="24"/>
      <c r="Y19" s="24"/>
      <c r="Z19" s="24"/>
      <c r="AA19" s="24"/>
      <c r="AB19" s="24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18"/>
      <c r="IU19" s="18"/>
      <c r="IV19" s="18"/>
      <c r="IW19" s="18"/>
    </row>
    <row r="20" spans="1:257" s="19" customFormat="1" x14ac:dyDescent="0.45">
      <c r="A20" s="31"/>
      <c r="B20" s="24"/>
      <c r="C20" s="32"/>
      <c r="D20" s="31"/>
      <c r="E20" s="18"/>
      <c r="F20" s="5"/>
      <c r="G20" s="24"/>
      <c r="H20" s="5"/>
      <c r="I20" s="5"/>
      <c r="J20" s="5"/>
      <c r="K20" s="24"/>
      <c r="L20" s="5"/>
      <c r="M20" s="61"/>
      <c r="N20" s="5"/>
      <c r="O20" s="18"/>
      <c r="P20" s="5"/>
      <c r="Q20" s="18"/>
      <c r="R20" s="31"/>
      <c r="S20" s="31"/>
      <c r="T20" s="31"/>
      <c r="U20" s="31"/>
      <c r="V20" s="12"/>
      <c r="W20" s="24"/>
      <c r="X20" s="24"/>
      <c r="Y20" s="24"/>
      <c r="Z20" s="24"/>
      <c r="AA20" s="24"/>
      <c r="AB20" s="24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  <c r="IT20" s="18"/>
      <c r="IU20" s="18"/>
      <c r="IV20" s="18"/>
      <c r="IW20" s="18"/>
    </row>
    <row r="21" spans="1:257" s="19" customFormat="1" x14ac:dyDescent="0.45">
      <c r="A21" s="31"/>
      <c r="B21" s="24"/>
      <c r="C21" s="32"/>
      <c r="D21" s="31"/>
      <c r="E21" s="18"/>
      <c r="F21" s="5"/>
      <c r="G21" s="24"/>
      <c r="H21" s="5"/>
      <c r="I21" s="5"/>
      <c r="J21" s="5"/>
      <c r="K21" s="24"/>
      <c r="L21" s="5"/>
      <c r="M21" s="61"/>
      <c r="N21" s="5"/>
      <c r="O21" s="18"/>
      <c r="P21" s="5"/>
      <c r="Q21" s="18"/>
      <c r="R21" s="31"/>
      <c r="S21" s="31"/>
      <c r="T21" s="31"/>
      <c r="U21" s="31"/>
      <c r="V21" s="12"/>
      <c r="W21" s="24"/>
      <c r="X21" s="5"/>
      <c r="Y21" s="5"/>
      <c r="Z21" s="5"/>
      <c r="AA21" s="5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  <c r="IQ21" s="18"/>
      <c r="IR21" s="18"/>
      <c r="IS21" s="18"/>
      <c r="IT21" s="18"/>
      <c r="IU21" s="18"/>
      <c r="IV21" s="18"/>
      <c r="IW21" s="18"/>
    </row>
    <row r="22" spans="1:257" x14ac:dyDescent="0.45">
      <c r="J22" s="24"/>
      <c r="K22" s="24"/>
      <c r="L22" s="24"/>
      <c r="V22" s="12"/>
    </row>
    <row r="23" spans="1:257" x14ac:dyDescent="0.45">
      <c r="J23" s="24"/>
      <c r="K23" s="24"/>
      <c r="L23" s="24"/>
      <c r="V23" s="12"/>
    </row>
    <row r="24" spans="1:257" x14ac:dyDescent="0.45">
      <c r="J24" s="24"/>
      <c r="K24" s="24"/>
      <c r="L24" s="24"/>
      <c r="V24" s="24"/>
    </row>
    <row r="25" spans="1:257" x14ac:dyDescent="0.45">
      <c r="J25" s="24"/>
      <c r="K25" s="24"/>
      <c r="L25" s="24"/>
      <c r="V25" s="24"/>
    </row>
    <row r="26" spans="1:257" x14ac:dyDescent="0.45">
      <c r="J26" s="24"/>
      <c r="K26" s="24"/>
      <c r="L26" s="24"/>
      <c r="V26" s="24"/>
    </row>
    <row r="27" spans="1:257" x14ac:dyDescent="0.45">
      <c r="J27" s="24"/>
      <c r="K27" s="24"/>
      <c r="L27" s="24"/>
      <c r="V27" s="24"/>
    </row>
    <row r="28" spans="1:257" x14ac:dyDescent="0.45">
      <c r="J28" s="24"/>
      <c r="K28" s="24"/>
      <c r="L28" s="24"/>
      <c r="V28" s="24"/>
    </row>
    <row r="29" spans="1:257" x14ac:dyDescent="0.45">
      <c r="J29" s="24"/>
      <c r="K29" s="24"/>
      <c r="L29" s="24"/>
      <c r="V29" s="24"/>
    </row>
    <row r="30" spans="1:257" x14ac:dyDescent="0.45">
      <c r="J30" s="24"/>
      <c r="K30" s="24"/>
      <c r="L30" s="24"/>
      <c r="V30" s="24"/>
    </row>
    <row r="31" spans="1:257" x14ac:dyDescent="0.45">
      <c r="J31" s="24"/>
      <c r="K31" s="24"/>
      <c r="L31" s="24"/>
    </row>
    <row r="32" spans="1:257" x14ac:dyDescent="0.45">
      <c r="J32" s="24"/>
      <c r="K32" s="24"/>
      <c r="L32" s="24"/>
    </row>
  </sheetData>
  <mergeCells count="2">
    <mergeCell ref="F1:J1"/>
    <mergeCell ref="R1:U1"/>
  </mergeCells>
  <pageMargins left="0.25" right="0.25" top="0.5" bottom="0.5" header="0.25" footer="0.25"/>
  <pageSetup scale="68" orientation="landscape" r:id="rId1"/>
  <headerFooter>
    <oddHeader>&amp;F</oddHeader>
    <oddFooter>&amp;L&amp;A&amp;C&amp;D&amp;RPage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4220A-25EA-4FC7-948D-7276BD7A6ED9}">
  <sheetPr>
    <pageSetUpPr fitToPage="1"/>
  </sheetPr>
  <dimension ref="A2:E22"/>
  <sheetViews>
    <sheetView tabSelected="1" workbookViewId="0">
      <selection activeCell="E16" sqref="E16"/>
    </sheetView>
  </sheetViews>
  <sheetFormatPr defaultColWidth="9.1328125" defaultRowHeight="14.25" x14ac:dyDescent="0.45"/>
  <cols>
    <col min="1" max="5" width="25.73046875" style="34" customWidth="1"/>
    <col min="6" max="6" width="11.73046875" style="34" customWidth="1"/>
    <col min="7" max="8" width="12.73046875" style="34" customWidth="1"/>
    <col min="9" max="16384" width="9.1328125" style="34"/>
  </cols>
  <sheetData>
    <row r="2" spans="1:5" x14ac:dyDescent="0.45">
      <c r="D2" s="63" t="s">
        <v>33</v>
      </c>
      <c r="E2" s="70" t="s">
        <v>34</v>
      </c>
    </row>
    <row r="3" spans="1:5" x14ac:dyDescent="0.45">
      <c r="A3" s="34" t="str">
        <f>IF((SCHEDULE!$P2)&lt;1,SCHEDULE!$F2,_xlfn.CONCAT(SCHEDULE!$F2," - ", SCHEDULE!$G2))</f>
        <v>Great Valley - 5</v>
      </c>
      <c r="D3" s="64" t="s">
        <v>35</v>
      </c>
      <c r="E3" s="71"/>
    </row>
    <row r="4" spans="1:5" x14ac:dyDescent="0.45">
      <c r="A4" s="72" t="str">
        <f>_xlfn.CONCAT("(",SCHEDULE!$A2,") - ",TEXT(SCHEDULE!$C2,"DDD M/D")," ",TEXT(SCHEDULE!$D2,"H:MM AM/PM"),"
 (",SCHEDULE!$L2,")")</f>
        <v>(1) - Sun 6/15 4:30 PM
 (LM-S. Ardmore Park)</v>
      </c>
      <c r="B4" s="34" t="str">
        <f ca="1">IF((SCHEDULE!$P5)&lt;1,SCHEDULE!$F5,_xlfn.CONCAT(SCHEDULE!$F5," - ", SCHEDULE!$G5))</f>
        <v>Lower Merion - 12</v>
      </c>
    </row>
    <row r="5" spans="1:5" x14ac:dyDescent="0.45">
      <c r="A5" s="73"/>
      <c r="B5" s="74" t="str">
        <f>_xlfn.CONCAT("(",SCHEDULE!$A5,") - ",TEXT(SCHEDULE!$C5,"DDD M/D")," ",TEXT(SCHEDULE!$D5,"H:MM AM/PM"),"
 (",SCHEDULE!$L5,")")</f>
        <v>(3) - Tue 6/17 5:30 PM
 (CV-Monument Park)</v>
      </c>
    </row>
    <row r="6" spans="1:5" x14ac:dyDescent="0.45">
      <c r="A6" s="34" t="str">
        <f>IF((SCHEDULE!$P2)&lt;1,SCHEDULE!$I2,_xlfn.CONCAT(SCHEDULE!$I2," - ", SCHEDULE!$J2))</f>
        <v>Lower Merion - 15</v>
      </c>
      <c r="B6" s="75"/>
      <c r="C6" s="34" t="str">
        <f ca="1">IF((SCHEDULE!$P10)&lt;1,SCHEDULE!$F10,_xlfn.CONCAT(SCHEDULE!$F10," - ", SCHEDULE!$G10))</f>
        <v>Lower Merion - 5</v>
      </c>
    </row>
    <row r="7" spans="1:5" x14ac:dyDescent="0.45">
      <c r="B7" s="75"/>
      <c r="C7" s="74" t="str">
        <f>_xlfn.CONCAT("(",SCHEDULE!$A10,") - ",TEXT(SCHEDULE!$C10,"DDD M/D")," ",TEXT(SCHEDULE!$D10,"H:MM AM/PM"),"
 (",SCHEDULE!$L10,")")</f>
        <v>(6) - Sun 6/22 3:00 PM
 (CV-Monument Park)</v>
      </c>
    </row>
    <row r="8" spans="1:5" x14ac:dyDescent="0.45">
      <c r="A8" s="34" t="str">
        <f>IF((SCHEDULE!$P3)&lt;1,SCHEDULE!$F3,_xlfn.CONCAT(SCHEDULE!$F3," - ", SCHEDULE!$G3))</f>
        <v>Lower Perk - 3</v>
      </c>
      <c r="B8" s="75"/>
      <c r="C8" s="75"/>
    </row>
    <row r="9" spans="1:5" x14ac:dyDescent="0.45">
      <c r="A9" s="72" t="str">
        <f>_xlfn.CONCAT("(",SCHEDULE!$A3,") - ",TEXT(SCHEDULE!$C3,"DDD M/D")," ",TEXT(SCHEDULE!$D3,"H:MM AM/PM"),"
 (",SCHEDULE!$L3,")")</f>
        <v>(2) - Sun 6/15 2:00 PM
 (LM-S. Ardmore Park)</v>
      </c>
      <c r="B9" s="76"/>
      <c r="C9" s="75"/>
    </row>
    <row r="10" spans="1:5" x14ac:dyDescent="0.45">
      <c r="A10" s="73"/>
      <c r="B10" s="34" t="str">
        <f ca="1">IF((SCHEDULE!$P5)&lt;1,SCHEDULE!$I5,_xlfn.CONCAT(SCHEDULE!$I5," - ", SCHEDULE!$J5))</f>
        <v>Chester Valley - 3</v>
      </c>
      <c r="C10" s="75"/>
      <c r="D10" s="34" t="str">
        <f ca="1">IF((SCHEDULE!$P12)&lt;1,SCHEDULE!$F12,_xlfn.CONCAT(SCHEDULE!$F12," - ", SCHEDULE!$G12))</f>
        <v>Chester Valley - 5</v>
      </c>
    </row>
    <row r="11" spans="1:5" x14ac:dyDescent="0.45">
      <c r="A11" s="34" t="str">
        <f>IF((SCHEDULE!$P3)&lt;1,SCHEDULE!$I3,_xlfn.CONCAT(SCHEDULE!$I3," - ", SCHEDULE!$J3))</f>
        <v>Chester Valley - 14</v>
      </c>
      <c r="C11" s="75"/>
      <c r="D11" s="74" t="str">
        <f>_xlfn.CONCAT("(",SCHEDULE!$A12,") - ",TEXT(SCHEDULE!$C12,"DDD M/D")," ",TEXT(SCHEDULE!$D12,"H:MM AM/PM"),"
 (",SCHEDULE!$L12,")")</f>
        <v>(7) - Mon 6/23 5:30 PM
 (LM-S. Ardmore Park)</v>
      </c>
    </row>
    <row r="12" spans="1:5" x14ac:dyDescent="0.45">
      <c r="C12" s="75"/>
      <c r="D12" s="75"/>
    </row>
    <row r="13" spans="1:5" x14ac:dyDescent="0.45">
      <c r="C13" s="75"/>
      <c r="D13" s="75"/>
    </row>
    <row r="14" spans="1:5" x14ac:dyDescent="0.45">
      <c r="A14" s="34" t="str">
        <f ca="1">IF((SCHEDULE!$P6)&lt;1,SCHEDULE!$F6,_xlfn.CONCAT(SCHEDULE!$F6," - ", SCHEDULE!$G6))</f>
        <v>Great Valley - 13</v>
      </c>
      <c r="C14" s="75"/>
      <c r="D14" s="75"/>
    </row>
    <row r="15" spans="1:5" x14ac:dyDescent="0.45">
      <c r="A15" s="72" t="str">
        <f>_xlfn.CONCAT("(",SCHEDULE!$A6,") - ",TEXT(SCHEDULE!$C6,"DDD M/D")," ",TEXT(SCHEDULE!$D6,"H:MM AM/PM"),"
 (",SCHEDULE!$L6,")")</f>
        <v>(4) - Tue 6/17 5:30 PM
 (GV-King Road)</v>
      </c>
      <c r="B15" s="34" t="str">
        <f ca="1">IF((SCHEDULE!$P8)&lt;1,SCHEDULE!$F8,_xlfn.CONCAT(SCHEDULE!$F8," - ", SCHEDULE!$G8))</f>
        <v>Great Valley - 4</v>
      </c>
      <c r="C15" s="75"/>
      <c r="D15" s="75"/>
    </row>
    <row r="16" spans="1:5" x14ac:dyDescent="0.45">
      <c r="A16" s="73"/>
      <c r="B16" s="72" t="str">
        <f>_xlfn.CONCAT("(",SCHEDULE!$A8,") - ",TEXT(SCHEDULE!$C8,"DDD M/D")," ",TEXT(SCHEDULE!$D8,"H:MM AM/PM"),"
 (",SCHEDULE!$L8,")")</f>
        <v>(5) - Sat 6/21 10:00 AM
 (CV-Monument Park)</v>
      </c>
      <c r="C16" s="76"/>
      <c r="D16" s="75"/>
      <c r="E16" s="35" t="str">
        <f ca="1">+SCHEDULE!F14</f>
        <v>Chester Valley</v>
      </c>
    </row>
    <row r="17" spans="1:5" x14ac:dyDescent="0.45">
      <c r="A17" s="34" t="str">
        <f ca="1">IF((SCHEDULE!$P6)&lt;1,SCHEDULE!$I6,_xlfn.CONCAT(SCHEDULE!$I6," - ", SCHEDULE!$J6))</f>
        <v>Lower Perk - 3</v>
      </c>
      <c r="B17" s="73"/>
      <c r="C17" s="34" t="str">
        <f ca="1">IF((SCHEDULE!$P10)&lt;1,SCHEDULE!$I10,_xlfn.CONCAT(SCHEDULE!$I10," - ", SCHEDULE!$J10))</f>
        <v>Chester Valley - 8</v>
      </c>
      <c r="D17" s="75"/>
      <c r="E17" s="36" t="str">
        <f ca="1">IF(E16="CHAMPION","","CHAMPION")</f>
        <v>CHAMPION</v>
      </c>
    </row>
    <row r="18" spans="1:5" x14ac:dyDescent="0.45">
      <c r="B18" s="34" t="str">
        <f ca="1">IF((SCHEDULE!$P8)&lt;1,SCHEDULE!$I8,_xlfn.CONCAT(SCHEDULE!$I8," - ", SCHEDULE!$J8))</f>
        <v>Chester Valley - 16</v>
      </c>
      <c r="D18" s="75"/>
    </row>
    <row r="19" spans="1:5" x14ac:dyDescent="0.45">
      <c r="D19" s="75"/>
    </row>
    <row r="20" spans="1:5" x14ac:dyDescent="0.45">
      <c r="D20" s="75"/>
    </row>
    <row r="21" spans="1:5" x14ac:dyDescent="0.45">
      <c r="D21" s="76"/>
    </row>
    <row r="22" spans="1:5" x14ac:dyDescent="0.45">
      <c r="D22" s="34" t="str">
        <f ca="1">IF((SCHEDULE!$P12)&lt;1,SCHEDULE!$I12,_xlfn.CONCAT(SCHEDULE!$I12," - ", SCHEDULE!$J12))</f>
        <v>Lower Merion - 0</v>
      </c>
    </row>
  </sheetData>
  <mergeCells count="8">
    <mergeCell ref="E2:E3"/>
    <mergeCell ref="A4:A5"/>
    <mergeCell ref="B5:B9"/>
    <mergeCell ref="C7:C16"/>
    <mergeCell ref="A9:A10"/>
    <mergeCell ref="D11:D21"/>
    <mergeCell ref="A15:A16"/>
    <mergeCell ref="B16:B17"/>
  </mergeCells>
  <pageMargins left="0.25" right="0.25" top="0.75" bottom="0.75" header="0.25" footer="0.25"/>
  <pageSetup orientation="landscape" r:id="rId1"/>
  <headerFooter>
    <oddHeader>&amp;F</oddHeader>
    <oddFooter>&amp;L&amp;A&amp;C&amp;D&amp;RPage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2C913-C16D-4982-B8EC-F5E1CC954EF6}">
  <dimension ref="A1:R21"/>
  <sheetViews>
    <sheetView workbookViewId="0">
      <selection activeCell="J16" sqref="J16"/>
    </sheetView>
  </sheetViews>
  <sheetFormatPr defaultColWidth="9.1328125" defaultRowHeight="14.25" x14ac:dyDescent="0.45"/>
  <cols>
    <col min="1" max="1" width="8.86328125" style="44" bestFit="1" customWidth="1"/>
    <col min="2" max="2" width="3.3984375" style="24" bestFit="1" customWidth="1"/>
    <col min="3" max="3" width="14" style="24" bestFit="1" customWidth="1"/>
    <col min="4" max="4" width="11.86328125" style="33" bestFit="1" customWidth="1"/>
    <col min="5" max="5" width="13.59765625" style="24" bestFit="1" customWidth="1"/>
    <col min="6" max="6" width="3.73046875" style="5" customWidth="1"/>
    <col min="7" max="7" width="11.86328125" style="24" bestFit="1" customWidth="1"/>
    <col min="8" max="8" width="5.86328125" style="5" bestFit="1" customWidth="1"/>
    <col min="9" max="9" width="2.86328125" style="5" bestFit="1" customWidth="1"/>
    <col min="10" max="10" width="18.59765625" style="5" bestFit="1" customWidth="1"/>
    <col min="11" max="11" width="9.73046875" style="24" bestFit="1" customWidth="1"/>
    <col min="12" max="12" width="18.59765625" style="5" bestFit="1" customWidth="1"/>
    <col min="13" max="13" width="28.265625" style="44" bestFit="1" customWidth="1"/>
    <col min="14" max="14" width="12.73046875" style="44" bestFit="1" customWidth="1"/>
    <col min="15" max="15" width="8.86328125" style="44" bestFit="1" customWidth="1"/>
    <col min="16" max="16" width="13.59765625" style="44" bestFit="1" customWidth="1"/>
    <col min="17" max="17" width="18.59765625" style="44" bestFit="1" customWidth="1"/>
    <col min="18" max="18" width="7.265625" style="44" bestFit="1" customWidth="1"/>
    <col min="19" max="19" width="5.86328125" style="44" bestFit="1" customWidth="1"/>
    <col min="20" max="20" width="22.3984375" style="44" bestFit="1" customWidth="1"/>
    <col min="21" max="21" width="6.59765625" style="44" bestFit="1" customWidth="1"/>
    <col min="22" max="22" width="6.1328125" style="44" bestFit="1" customWidth="1"/>
    <col min="23" max="23" width="20.73046875" style="44" bestFit="1" customWidth="1"/>
    <col min="24" max="24" width="13.73046875" style="44" bestFit="1" customWidth="1"/>
    <col min="25" max="25" width="17.86328125" style="44" bestFit="1" customWidth="1"/>
    <col min="26" max="26" width="30.265625" style="44" bestFit="1" customWidth="1"/>
    <col min="27" max="27" width="22.3984375" style="44" bestFit="1" customWidth="1"/>
    <col min="28" max="16384" width="9.1328125" style="44"/>
  </cols>
  <sheetData>
    <row r="1" spans="1:18" s="19" customFormat="1" x14ac:dyDescent="0.45">
      <c r="A1" s="1" t="s">
        <v>0</v>
      </c>
      <c r="B1" s="1" t="s">
        <v>36</v>
      </c>
      <c r="C1" s="1" t="s">
        <v>1</v>
      </c>
      <c r="D1" s="1" t="s">
        <v>2</v>
      </c>
      <c r="E1" s="1" t="s">
        <v>3</v>
      </c>
      <c r="F1" s="37"/>
      <c r="G1" s="37" t="s">
        <v>4</v>
      </c>
      <c r="H1" s="56"/>
      <c r="I1" s="56"/>
      <c r="J1" s="56"/>
      <c r="K1" s="57"/>
      <c r="L1" s="1" t="s">
        <v>5</v>
      </c>
      <c r="M1" s="1" t="s">
        <v>6</v>
      </c>
      <c r="N1" s="1" t="s">
        <v>37</v>
      </c>
      <c r="O1" s="1" t="s">
        <v>38</v>
      </c>
      <c r="P1" s="1" t="s">
        <v>39</v>
      </c>
      <c r="Q1" s="1" t="s">
        <v>40</v>
      </c>
      <c r="R1" s="1" t="s">
        <v>41</v>
      </c>
    </row>
    <row r="2" spans="1:18" x14ac:dyDescent="0.45">
      <c r="A2" s="38" t="str">
        <f>CONCATENATE($C$21,"-",TEXT(B2,"00"))</f>
        <v>BB-SR-01</v>
      </c>
      <c r="B2" s="38">
        <v>1</v>
      </c>
      <c r="C2" s="39">
        <f>+D2</f>
        <v>45823</v>
      </c>
      <c r="D2" s="40">
        <f>VLOOKUP($B2,SCHEDULE!$A$2:$O$20,3,FALSE)</f>
        <v>45823</v>
      </c>
      <c r="E2" s="10">
        <f>VLOOKUP($B2,SCHEDULE!$A$2:$O$20,4,FALSE)</f>
        <v>0.6875</v>
      </c>
      <c r="F2" s="41"/>
      <c r="G2" s="11" t="str">
        <f>VLOOKUP($B2,SCHEDULE!$A$2:$O$20,6,FALSE)</f>
        <v>Great Valley</v>
      </c>
      <c r="H2" s="2">
        <f>VLOOKUP($B2,SCHEDULE!$A$2:$O$20,7,FALSE)</f>
        <v>5</v>
      </c>
      <c r="I2" s="2" t="str">
        <f>VLOOKUP($B2,SCHEDULE!$A$2:$O$20,8,FALSE)</f>
        <v>vs</v>
      </c>
      <c r="J2" s="11" t="str">
        <f>VLOOKUP($B2,SCHEDULE!$A$2:$O$20,9,FALSE)</f>
        <v>Lower Merion</v>
      </c>
      <c r="K2" s="2">
        <f>VLOOKUP($B2,SCHEDULE!$A$2:$O$20,10,FALSE)</f>
        <v>15</v>
      </c>
      <c r="L2" s="2" t="str">
        <f>VLOOKUP($B2,SCHEDULE!$A$2:$O$20,12,FALSE)</f>
        <v>LM-S. Ardmore Park</v>
      </c>
      <c r="M2" s="42" t="str">
        <f>VLOOKUP($B2,SCHEDULE!$A$2:$O$20,13,FALSE)</f>
        <v>Assigned by D27 Scott Bennett</v>
      </c>
      <c r="N2" s="43" t="s">
        <v>42</v>
      </c>
      <c r="O2" s="2" t="s">
        <v>43</v>
      </c>
      <c r="P2" s="2" t="str">
        <f>+$C$21</f>
        <v>BB-SR</v>
      </c>
      <c r="Q2" s="2"/>
      <c r="R2" s="2"/>
    </row>
    <row r="3" spans="1:18" x14ac:dyDescent="0.45">
      <c r="A3" s="38" t="str">
        <f t="shared" ref="A3:A8" si="0">CONCATENATE($C$21,"-",TEXT(B3,"00"))</f>
        <v>BB-SR-02</v>
      </c>
      <c r="B3" s="38">
        <v>2</v>
      </c>
      <c r="C3" s="39">
        <f t="shared" ref="C3:C8" si="1">+D3</f>
        <v>45823</v>
      </c>
      <c r="D3" s="40">
        <f>VLOOKUP($B3,SCHEDULE!$A$2:$O$20,3,FALSE)</f>
        <v>45823</v>
      </c>
      <c r="E3" s="10">
        <f>VLOOKUP($B3,SCHEDULE!$A$2:$O$20,4,FALSE)</f>
        <v>0.58333333333333337</v>
      </c>
      <c r="F3" s="41"/>
      <c r="G3" s="11" t="str">
        <f>VLOOKUP($B3,SCHEDULE!$A$2:$O$20,6,FALSE)</f>
        <v>Lower Perk</v>
      </c>
      <c r="H3" s="2">
        <f>VLOOKUP($B3,SCHEDULE!$A$2:$O$20,7,FALSE)</f>
        <v>3</v>
      </c>
      <c r="I3" s="2" t="str">
        <f>VLOOKUP($B3,SCHEDULE!$A$2:$O$20,8,FALSE)</f>
        <v>vs</v>
      </c>
      <c r="J3" s="11" t="str">
        <f>VLOOKUP($B3,SCHEDULE!$A$2:$O$20,9,FALSE)</f>
        <v>Chester Valley</v>
      </c>
      <c r="K3" s="2">
        <f>VLOOKUP($B3,SCHEDULE!$A$2:$O$20,10,FALSE)</f>
        <v>14</v>
      </c>
      <c r="L3" s="2" t="str">
        <f>VLOOKUP($B3,SCHEDULE!$A$2:$O$20,12,FALSE)</f>
        <v>LM-S. Ardmore Park</v>
      </c>
      <c r="M3" s="42" t="str">
        <f>VLOOKUP($B3,SCHEDULE!$A$2:$O$20,13,FALSE)</f>
        <v>Assigned by D27 Scott Bennett</v>
      </c>
      <c r="N3" s="43" t="s">
        <v>42</v>
      </c>
      <c r="O3" s="2" t="s">
        <v>43</v>
      </c>
      <c r="P3" s="2" t="str">
        <f t="shared" ref="P3:P8" si="2">+$C$21</f>
        <v>BB-SR</v>
      </c>
      <c r="Q3" s="2"/>
      <c r="R3" s="2"/>
    </row>
    <row r="4" spans="1:18" x14ac:dyDescent="0.45">
      <c r="A4" s="38" t="str">
        <f t="shared" si="0"/>
        <v>BB-SR-03</v>
      </c>
      <c r="B4" s="38">
        <v>3</v>
      </c>
      <c r="C4" s="39">
        <f t="shared" si="1"/>
        <v>45825</v>
      </c>
      <c r="D4" s="40">
        <f>VLOOKUP($B4,SCHEDULE!$A$2:$O$20,3,FALSE)</f>
        <v>45825</v>
      </c>
      <c r="E4" s="10">
        <f>VLOOKUP($B4,SCHEDULE!$A$2:$O$20,4,FALSE)</f>
        <v>0.72916666666666663</v>
      </c>
      <c r="F4" s="41"/>
      <c r="G4" s="3" t="str">
        <f ca="1">VLOOKUP($B4,SCHEDULE!$A$2:$O$20,6,FALSE)</f>
        <v>Lower Merion</v>
      </c>
      <c r="H4" s="2">
        <f>VLOOKUP($B4,SCHEDULE!$A$2:$O$20,7,FALSE)</f>
        <v>12</v>
      </c>
      <c r="I4" s="2" t="str">
        <f>VLOOKUP($B4,SCHEDULE!$A$2:$O$20,8,FALSE)</f>
        <v>vs</v>
      </c>
      <c r="J4" s="3" t="str">
        <f ca="1">VLOOKUP($B4,SCHEDULE!$A$2:$O$20,9,FALSE)</f>
        <v>Chester Valley</v>
      </c>
      <c r="K4" s="2">
        <f>VLOOKUP($B4,SCHEDULE!$A$2:$O$20,10,FALSE)</f>
        <v>3</v>
      </c>
      <c r="L4" s="2" t="str">
        <f>VLOOKUP($B4,SCHEDULE!$A$2:$O$20,12,FALSE)</f>
        <v>CV-Monument Park</v>
      </c>
      <c r="M4" s="42" t="str">
        <f>VLOOKUP($B4,SCHEDULE!$A$2:$O$20,13,FALSE)</f>
        <v>Assigned by D27 Scott Bennett</v>
      </c>
      <c r="N4" s="43" t="s">
        <v>42</v>
      </c>
      <c r="O4" s="2" t="s">
        <v>43</v>
      </c>
      <c r="P4" s="2" t="str">
        <f t="shared" si="2"/>
        <v>BB-SR</v>
      </c>
      <c r="Q4" s="2"/>
      <c r="R4" s="2"/>
    </row>
    <row r="5" spans="1:18" x14ac:dyDescent="0.45">
      <c r="A5" s="38" t="str">
        <f t="shared" si="0"/>
        <v>BB-SR-04</v>
      </c>
      <c r="B5" s="38">
        <v>4</v>
      </c>
      <c r="C5" s="39">
        <f t="shared" si="1"/>
        <v>45825</v>
      </c>
      <c r="D5" s="40">
        <f>VLOOKUP($B5,SCHEDULE!$A$2:$O$20,3,FALSE)</f>
        <v>45825</v>
      </c>
      <c r="E5" s="10">
        <f>VLOOKUP($B5,SCHEDULE!$A$2:$O$20,4,FALSE)</f>
        <v>0.72916666666666663</v>
      </c>
      <c r="F5" s="41"/>
      <c r="G5" s="3" t="str">
        <f ca="1">VLOOKUP($B5,SCHEDULE!$A$2:$O$20,6,FALSE)</f>
        <v>Great Valley</v>
      </c>
      <c r="H5" s="2">
        <f>VLOOKUP($B5,SCHEDULE!$A$2:$O$20,7,FALSE)</f>
        <v>13</v>
      </c>
      <c r="I5" s="2" t="str">
        <f>VLOOKUP($B5,SCHEDULE!$A$2:$O$20,8,FALSE)</f>
        <v>vs</v>
      </c>
      <c r="J5" s="3" t="str">
        <f ca="1">VLOOKUP($B5,SCHEDULE!$A$2:$O$20,9,FALSE)</f>
        <v>Lower Perk</v>
      </c>
      <c r="K5" s="2">
        <f>VLOOKUP($B5,SCHEDULE!$A$2:$O$20,10,FALSE)</f>
        <v>3</v>
      </c>
      <c r="L5" s="2" t="str">
        <f>VLOOKUP($B5,SCHEDULE!$A$2:$O$20,12,FALSE)</f>
        <v>GV-King Road</v>
      </c>
      <c r="M5" s="42" t="str">
        <f>VLOOKUP($B5,SCHEDULE!$A$2:$O$20,13,FALSE)</f>
        <v>Assigned by D27 Scott Bennett</v>
      </c>
      <c r="N5" s="43" t="s">
        <v>42</v>
      </c>
      <c r="O5" s="2" t="s">
        <v>43</v>
      </c>
      <c r="P5" s="2" t="str">
        <f t="shared" si="2"/>
        <v>BB-SR</v>
      </c>
      <c r="Q5" s="2"/>
      <c r="R5" s="2"/>
    </row>
    <row r="6" spans="1:18" x14ac:dyDescent="0.45">
      <c r="A6" s="38" t="str">
        <f t="shared" si="0"/>
        <v>BB-SR-05</v>
      </c>
      <c r="B6" s="38">
        <v>5</v>
      </c>
      <c r="C6" s="39">
        <f t="shared" si="1"/>
        <v>45829</v>
      </c>
      <c r="D6" s="40">
        <f>VLOOKUP($B6,SCHEDULE!$A$2:$O$20,3,FALSE)</f>
        <v>45829</v>
      </c>
      <c r="E6" s="10">
        <f>VLOOKUP($B6,SCHEDULE!$A$2:$O$20,4,FALSE)</f>
        <v>0.41666666666666669</v>
      </c>
      <c r="F6" s="41"/>
      <c r="G6" s="3" t="str">
        <f ca="1">VLOOKUP($B6,SCHEDULE!$A$2:$O$20,6,FALSE)</f>
        <v>Great Valley</v>
      </c>
      <c r="H6" s="2">
        <f>VLOOKUP($B6,SCHEDULE!$A$2:$O$20,7,FALSE)</f>
        <v>4</v>
      </c>
      <c r="I6" s="2" t="str">
        <f>VLOOKUP($B6,SCHEDULE!$A$2:$O$20,8,FALSE)</f>
        <v>vs</v>
      </c>
      <c r="J6" s="3" t="str">
        <f ca="1">VLOOKUP($B6,SCHEDULE!$A$2:$O$20,9,FALSE)</f>
        <v>Chester Valley</v>
      </c>
      <c r="K6" s="2">
        <f>VLOOKUP($B6,SCHEDULE!$A$2:$O$20,10,FALSE)</f>
        <v>16</v>
      </c>
      <c r="L6" s="2" t="str">
        <f>VLOOKUP($B6,SCHEDULE!$A$2:$O$20,12,FALSE)</f>
        <v>CV-Monument Park</v>
      </c>
      <c r="M6" s="42" t="str">
        <f>VLOOKUP($B6,SCHEDULE!$A$2:$O$20,13,FALSE)</f>
        <v>Assigned by D27 Scott Bennett</v>
      </c>
      <c r="N6" s="43" t="s">
        <v>42</v>
      </c>
      <c r="O6" s="2" t="s">
        <v>43</v>
      </c>
      <c r="P6" s="2" t="str">
        <f t="shared" si="2"/>
        <v>BB-SR</v>
      </c>
      <c r="Q6" s="2"/>
      <c r="R6" s="2"/>
    </row>
    <row r="7" spans="1:18" x14ac:dyDescent="0.45">
      <c r="A7" s="38" t="str">
        <f t="shared" si="0"/>
        <v>BB-SR-06</v>
      </c>
      <c r="B7" s="38">
        <v>6</v>
      </c>
      <c r="C7" s="22">
        <f t="shared" si="1"/>
        <v>45830</v>
      </c>
      <c r="D7" s="45">
        <f>VLOOKUP($B7,SCHEDULE!$A$2:$O$20,3,FALSE)</f>
        <v>45830</v>
      </c>
      <c r="E7" s="23">
        <f>VLOOKUP($B7,SCHEDULE!$A$2:$O$20,4,FALSE)</f>
        <v>0.625</v>
      </c>
      <c r="F7" s="41"/>
      <c r="G7" s="3" t="str">
        <f ca="1">VLOOKUP($B7,SCHEDULE!$A$2:$O$20,6,FALSE)</f>
        <v>Lower Merion</v>
      </c>
      <c r="H7" s="2">
        <f>VLOOKUP($B7,SCHEDULE!$A$2:$O$20,7,FALSE)</f>
        <v>5</v>
      </c>
      <c r="I7" s="2" t="str">
        <f>VLOOKUP($B7,SCHEDULE!$A$2:$O$20,8,FALSE)</f>
        <v>vs</v>
      </c>
      <c r="J7" s="3" t="str">
        <f ca="1">VLOOKUP($B7,SCHEDULE!$A$2:$O$20,9,FALSE)</f>
        <v>Chester Valley</v>
      </c>
      <c r="K7" s="2">
        <f>VLOOKUP($B7,SCHEDULE!$A$2:$O$20,10,FALSE)</f>
        <v>8</v>
      </c>
      <c r="L7" s="2" t="str">
        <f>VLOOKUP($B7,SCHEDULE!$A$2:$O$20,12,FALSE)</f>
        <v>CV-Monument Park</v>
      </c>
      <c r="M7" s="42" t="str">
        <f>VLOOKUP($B7,SCHEDULE!$A$2:$O$20,13,FALSE)</f>
        <v>Assigned by D27 Scott Bennett</v>
      </c>
      <c r="N7" s="43" t="s">
        <v>42</v>
      </c>
      <c r="O7" s="2" t="s">
        <v>43</v>
      </c>
      <c r="P7" s="2" t="str">
        <f t="shared" si="2"/>
        <v>BB-SR</v>
      </c>
      <c r="Q7" s="2" t="s">
        <v>40</v>
      </c>
      <c r="R7" s="2"/>
    </row>
    <row r="8" spans="1:18" x14ac:dyDescent="0.45">
      <c r="A8" s="38" t="str">
        <f t="shared" si="0"/>
        <v>BB-SR-07</v>
      </c>
      <c r="B8" s="38">
        <v>7</v>
      </c>
      <c r="C8" s="22">
        <f t="shared" si="1"/>
        <v>45831</v>
      </c>
      <c r="D8" s="45">
        <f>VLOOKUP($B8,SCHEDULE!$A$2:$O$20,3,FALSE)</f>
        <v>45831</v>
      </c>
      <c r="E8" s="23">
        <f>VLOOKUP($B8,SCHEDULE!$A$2:$O$20,4,FALSE)</f>
        <v>0.72916666666666663</v>
      </c>
      <c r="F8" s="41"/>
      <c r="G8" s="3" t="str">
        <f ca="1">VLOOKUP($B8,SCHEDULE!$A$2:$O$20,6,FALSE)</f>
        <v>Chester Valley</v>
      </c>
      <c r="H8" s="2">
        <f>VLOOKUP($B8,SCHEDULE!$A$2:$O$20,7,FALSE)</f>
        <v>5</v>
      </c>
      <c r="I8" s="2" t="str">
        <f>VLOOKUP($B8,SCHEDULE!$A$2:$O$20,8,FALSE)</f>
        <v>vs</v>
      </c>
      <c r="J8" s="3" t="str">
        <f ca="1">VLOOKUP($B8,SCHEDULE!$A$2:$O$20,9,FALSE)</f>
        <v>Lower Merion</v>
      </c>
      <c r="K8" s="2">
        <f>VLOOKUP($B8,SCHEDULE!$A$2:$O$20,10,FALSE)</f>
        <v>0</v>
      </c>
      <c r="L8" s="2" t="str">
        <f>VLOOKUP($B8,SCHEDULE!$A$2:$O$20,12,FALSE)</f>
        <v>LM-S. Ardmore Park</v>
      </c>
      <c r="M8" s="42" t="str">
        <f>VLOOKUP($B8,SCHEDULE!$A$2:$O$20,13,FALSE)</f>
        <v>Assigned by D27 Scott Bennett</v>
      </c>
      <c r="N8" s="43" t="s">
        <v>42</v>
      </c>
      <c r="O8" s="2" t="s">
        <v>43</v>
      </c>
      <c r="P8" s="2" t="str">
        <f t="shared" si="2"/>
        <v>BB-SR</v>
      </c>
      <c r="Q8" s="2" t="s">
        <v>31</v>
      </c>
      <c r="R8" s="2"/>
    </row>
    <row r="12" spans="1:18" x14ac:dyDescent="0.45">
      <c r="B12" s="6" t="s">
        <v>10</v>
      </c>
      <c r="C12" s="6" t="s">
        <v>11</v>
      </c>
      <c r="D12" s="6" t="s">
        <v>44</v>
      </c>
      <c r="E12" s="6" t="s">
        <v>45</v>
      </c>
      <c r="F12" s="6"/>
      <c r="G12" s="6" t="s">
        <v>46</v>
      </c>
      <c r="H12" s="6" t="s">
        <v>47</v>
      </c>
      <c r="I12" s="6"/>
      <c r="J12" s="6" t="s">
        <v>13</v>
      </c>
      <c r="K12" s="6" t="s">
        <v>48</v>
      </c>
      <c r="L12" s="6" t="s">
        <v>49</v>
      </c>
      <c r="M12" s="6" t="str">
        <f t="shared" ref="M12:M16" si="3">+C12</f>
        <v>Team</v>
      </c>
      <c r="N12" s="6" t="s">
        <v>12</v>
      </c>
      <c r="O12" s="6" t="str">
        <f t="shared" ref="O12:P16" si="4">+D12</f>
        <v>Manager</v>
      </c>
      <c r="P12" s="6" t="str">
        <f t="shared" si="4"/>
        <v>Email Address</v>
      </c>
      <c r="Q12" s="6" t="str">
        <f>+J12</f>
        <v>Park</v>
      </c>
    </row>
    <row r="13" spans="1:18" x14ac:dyDescent="0.45">
      <c r="B13" s="46">
        <v>1</v>
      </c>
      <c r="C13" s="13" t="s">
        <v>50</v>
      </c>
      <c r="D13" s="13"/>
      <c r="E13" s="47"/>
      <c r="F13" s="14"/>
      <c r="G13" s="14"/>
      <c r="H13" s="14" t="s">
        <v>51</v>
      </c>
      <c r="I13" s="14"/>
      <c r="J13" s="13" t="s">
        <v>27</v>
      </c>
      <c r="K13" s="48">
        <v>14.11</v>
      </c>
      <c r="L13" s="46">
        <f>RANK($K13,K$13:K$16,1)</f>
        <v>4</v>
      </c>
      <c r="M13" s="49" t="str">
        <f t="shared" si="3"/>
        <v>Chester Valley</v>
      </c>
      <c r="N13" s="50" t="str">
        <f>_xlfn.CONCAT($H13,$C$20)</f>
        <v>CV-D27-BBSR</v>
      </c>
      <c r="O13" s="46">
        <f t="shared" si="4"/>
        <v>0</v>
      </c>
      <c r="P13" s="46">
        <f t="shared" si="4"/>
        <v>0</v>
      </c>
      <c r="Q13" s="50" t="str">
        <f t="shared" ref="Q13:Q16" si="5">IF(J13&lt;&gt;"",J13,"")</f>
        <v>CV-Monument Park</v>
      </c>
    </row>
    <row r="14" spans="1:18" x14ac:dyDescent="0.45">
      <c r="B14" s="46">
        <f t="shared" ref="B14:B16" si="6">+B13+1</f>
        <v>2</v>
      </c>
      <c r="C14" s="13" t="s">
        <v>52</v>
      </c>
      <c r="D14" s="13"/>
      <c r="E14" s="13"/>
      <c r="F14" s="14"/>
      <c r="G14" s="14"/>
      <c r="H14" s="14" t="s">
        <v>53</v>
      </c>
      <c r="I14" s="14"/>
      <c r="J14" s="13" t="s">
        <v>18</v>
      </c>
      <c r="K14" s="48">
        <v>7.02</v>
      </c>
      <c r="L14" s="46">
        <f t="shared" ref="L14:L16" si="7">RANK($K14,K$13:K$16,1)</f>
        <v>1</v>
      </c>
      <c r="M14" s="49" t="str">
        <f t="shared" si="3"/>
        <v>Great Valley</v>
      </c>
      <c r="N14" s="50" t="str">
        <f>_xlfn.CONCAT($H14,$C$20)</f>
        <v>GV-D27-BBSR</v>
      </c>
      <c r="O14" s="46">
        <f t="shared" si="4"/>
        <v>0</v>
      </c>
      <c r="P14" s="46">
        <f t="shared" si="4"/>
        <v>0</v>
      </c>
      <c r="Q14" s="50" t="str">
        <f t="shared" si="5"/>
        <v>GV-King Road</v>
      </c>
    </row>
    <row r="15" spans="1:18" x14ac:dyDescent="0.45">
      <c r="B15" s="46">
        <f t="shared" si="6"/>
        <v>3</v>
      </c>
      <c r="C15" s="13" t="s">
        <v>21</v>
      </c>
      <c r="D15" s="13"/>
      <c r="E15" s="13"/>
      <c r="F15" s="14"/>
      <c r="G15" s="14"/>
      <c r="H15" s="14" t="s">
        <v>54</v>
      </c>
      <c r="I15" s="14"/>
      <c r="J15" s="13" t="s">
        <v>59</v>
      </c>
      <c r="K15" s="48">
        <v>13.09</v>
      </c>
      <c r="L15" s="46">
        <f t="shared" si="7"/>
        <v>2</v>
      </c>
      <c r="M15" s="49" t="str">
        <f t="shared" si="3"/>
        <v>Lower Merion</v>
      </c>
      <c r="N15" s="50" t="str">
        <f t="shared" ref="N15:N16" si="8">_xlfn.CONCAT($H15,$C$20)</f>
        <v>LM-D27-BBSR</v>
      </c>
      <c r="O15" s="46">
        <f t="shared" si="4"/>
        <v>0</v>
      </c>
      <c r="P15" s="46">
        <f t="shared" si="4"/>
        <v>0</v>
      </c>
      <c r="Q15" s="50" t="str">
        <f t="shared" si="5"/>
        <v>LM-S. Ardmore Park</v>
      </c>
    </row>
    <row r="16" spans="1:18" x14ac:dyDescent="0.45">
      <c r="B16" s="46">
        <f t="shared" si="6"/>
        <v>4</v>
      </c>
      <c r="C16" s="13" t="s">
        <v>55</v>
      </c>
      <c r="D16" s="13"/>
      <c r="E16" s="13"/>
      <c r="F16" s="14"/>
      <c r="G16" s="14"/>
      <c r="H16" s="14" t="s">
        <v>56</v>
      </c>
      <c r="I16" s="14"/>
      <c r="J16" s="13" t="s">
        <v>16</v>
      </c>
      <c r="K16" s="48">
        <v>14.09</v>
      </c>
      <c r="L16" s="46">
        <f t="shared" si="7"/>
        <v>3</v>
      </c>
      <c r="M16" s="49" t="str">
        <f t="shared" si="3"/>
        <v>Lower Perk</v>
      </c>
      <c r="N16" s="50" t="str">
        <f t="shared" si="8"/>
        <v>LP-D27-BBSR</v>
      </c>
      <c r="O16" s="46">
        <f t="shared" si="4"/>
        <v>0</v>
      </c>
      <c r="P16" s="46">
        <f t="shared" si="4"/>
        <v>0</v>
      </c>
      <c r="Q16" s="50" t="str">
        <f t="shared" si="5"/>
        <v>LP-French Field</v>
      </c>
    </row>
    <row r="17" spans="2:17" x14ac:dyDescent="0.45">
      <c r="B17" s="2"/>
      <c r="C17" s="20"/>
      <c r="D17" s="20"/>
      <c r="E17" s="20"/>
      <c r="F17" s="2"/>
      <c r="G17" s="2"/>
      <c r="H17" s="2"/>
      <c r="I17" s="2"/>
      <c r="J17" s="20"/>
      <c r="K17" s="51"/>
      <c r="L17" s="2"/>
      <c r="M17" s="52"/>
      <c r="N17" s="52"/>
      <c r="O17" s="38"/>
      <c r="P17" s="38"/>
      <c r="Q17" s="52"/>
    </row>
    <row r="18" spans="2:17" x14ac:dyDescent="0.45">
      <c r="B18" s="2"/>
      <c r="C18" s="20"/>
      <c r="D18" s="20"/>
      <c r="E18" s="20"/>
      <c r="F18" s="2"/>
      <c r="G18" s="2"/>
      <c r="H18" s="2"/>
      <c r="I18" s="2"/>
      <c r="J18" s="20"/>
      <c r="K18" s="51"/>
      <c r="L18" s="21"/>
      <c r="M18" s="52"/>
      <c r="N18" s="52"/>
      <c r="O18" s="38"/>
      <c r="P18" s="38"/>
      <c r="Q18" s="52"/>
    </row>
    <row r="19" spans="2:17" x14ac:dyDescent="0.45">
      <c r="D19" s="24"/>
      <c r="F19" s="24"/>
      <c r="H19" s="24"/>
      <c r="I19" s="24"/>
      <c r="J19" s="24"/>
      <c r="L19" s="24"/>
      <c r="M19" s="24"/>
      <c r="N19" s="24"/>
      <c r="O19" s="24"/>
    </row>
    <row r="20" spans="2:17" x14ac:dyDescent="0.45">
      <c r="C20" s="53" t="s">
        <v>57</v>
      </c>
      <c r="D20" s="54" t="s">
        <v>58</v>
      </c>
      <c r="E20" s="55"/>
      <c r="F20" s="55"/>
      <c r="H20" s="24"/>
      <c r="I20" s="24"/>
      <c r="J20" s="24"/>
      <c r="L20" s="24"/>
      <c r="M20" s="24"/>
      <c r="N20" s="24"/>
      <c r="O20" s="24"/>
    </row>
    <row r="21" spans="2:17" x14ac:dyDescent="0.45">
      <c r="B21" s="5"/>
      <c r="C21" s="53" t="s">
        <v>34</v>
      </c>
      <c r="D21" s="54" t="s">
        <v>39</v>
      </c>
      <c r="E21" s="5"/>
      <c r="F21" s="24"/>
      <c r="G21" s="5"/>
      <c r="J21" s="24"/>
      <c r="M21" s="24"/>
      <c r="N21" s="5"/>
      <c r="O21" s="5"/>
    </row>
  </sheetData>
  <conditionalFormatting sqref="N2:N8">
    <cfRule type="cellIs" dxfId="1" priority="1" operator="equal">
      <formula>"Softball"</formula>
    </cfRule>
    <cfRule type="cellIs" dxfId="0" priority="2" operator="equal">
      <formula>"Baseball"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SCHEDULE</vt:lpstr>
      <vt:lpstr>BRACKET</vt:lpstr>
      <vt:lpstr>D27</vt:lpstr>
      <vt:lpstr>SCHEDULE!Print_Titles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</dc:creator>
  <cp:lastModifiedBy>Jeff Bennett</cp:lastModifiedBy>
  <cp:lastPrinted>2025-05-28T05:01:43Z</cp:lastPrinted>
  <dcterms:created xsi:type="dcterms:W3CDTF">2025-05-27T13:29:22Z</dcterms:created>
  <dcterms:modified xsi:type="dcterms:W3CDTF">2025-08-06T15:10:21Z</dcterms:modified>
</cp:coreProperties>
</file>