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Removable Disk\JB_Flash_Drive\Jeff\ELL_2025\PA_Dist_27\All-Stars\Schedules\International Games\"/>
    </mc:Choice>
  </mc:AlternateContent>
  <xr:revisionPtr revIDLastSave="0" documentId="13_ncr:1_{6430AB32-A019-4447-ADE3-3C5E850ACDC3}" xr6:coauthVersionLast="47" xr6:coauthVersionMax="47" xr10:uidLastSave="{00000000-0000-0000-0000-000000000000}"/>
  <bookViews>
    <workbookView xWindow="-120" yWindow="-120" windowWidth="29040" windowHeight="15840" activeTab="1" xr2:uid="{413D4CB4-E6E1-4DEB-9D50-F8844CBD7B9C}"/>
  </bookViews>
  <sheets>
    <sheet name="SCHEDULE" sheetId="1" r:id="rId1"/>
    <sheet name="BRACKET" sheetId="2" r:id="rId2"/>
    <sheet name="D27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3" l="1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M2" i="3"/>
  <c r="L2" i="3" l="1"/>
  <c r="K2" i="3"/>
  <c r="I2" i="3"/>
  <c r="H2" i="3"/>
  <c r="E2" i="3"/>
  <c r="D2" i="3"/>
  <c r="C2" i="3" s="1"/>
  <c r="M1" i="3"/>
  <c r="L1" i="3"/>
  <c r="M24" i="3"/>
  <c r="O24" i="3"/>
  <c r="P24" i="3"/>
  <c r="Q24" i="3"/>
  <c r="L25" i="3"/>
  <c r="M25" i="3"/>
  <c r="N25" i="3"/>
  <c r="O25" i="3"/>
  <c r="P25" i="3"/>
  <c r="Q25" i="3"/>
  <c r="B26" i="3"/>
  <c r="B27" i="3" s="1"/>
  <c r="B28" i="3" s="1"/>
  <c r="B29" i="3" s="1"/>
  <c r="B30" i="3" s="1"/>
  <c r="B31" i="3" s="1"/>
  <c r="B32" i="3" s="1"/>
  <c r="B33" i="3" s="1"/>
  <c r="B34" i="3" s="1"/>
  <c r="L26" i="3"/>
  <c r="M26" i="3"/>
  <c r="N26" i="3"/>
  <c r="O26" i="3"/>
  <c r="P26" i="3"/>
  <c r="Q26" i="3"/>
  <c r="L27" i="3"/>
  <c r="M27" i="3"/>
  <c r="N27" i="3"/>
  <c r="O27" i="3"/>
  <c r="P27" i="3"/>
  <c r="Q27" i="3"/>
  <c r="L28" i="3"/>
  <c r="M28" i="3"/>
  <c r="N28" i="3"/>
  <c r="O28" i="3"/>
  <c r="P28" i="3"/>
  <c r="Q28" i="3"/>
  <c r="L29" i="3"/>
  <c r="M29" i="3"/>
  <c r="N29" i="3"/>
  <c r="O29" i="3"/>
  <c r="P29" i="3"/>
  <c r="Q29" i="3"/>
  <c r="L30" i="3"/>
  <c r="M30" i="3"/>
  <c r="N30" i="3"/>
  <c r="O30" i="3"/>
  <c r="P30" i="3"/>
  <c r="Q30" i="3"/>
  <c r="L31" i="3"/>
  <c r="M31" i="3"/>
  <c r="N31" i="3"/>
  <c r="O31" i="3"/>
  <c r="P31" i="3"/>
  <c r="Q31" i="3"/>
  <c r="L32" i="3"/>
  <c r="M32" i="3"/>
  <c r="N32" i="3"/>
  <c r="O32" i="3"/>
  <c r="P32" i="3"/>
  <c r="Q32" i="3"/>
  <c r="L33" i="3"/>
  <c r="M33" i="3"/>
  <c r="N33" i="3"/>
  <c r="O33" i="3"/>
  <c r="P33" i="3"/>
  <c r="Q33" i="3"/>
  <c r="L34" i="3"/>
  <c r="M34" i="3"/>
  <c r="N34" i="3"/>
  <c r="O34" i="3"/>
  <c r="P34" i="3"/>
  <c r="Q34" i="3"/>
  <c r="P28" i="1"/>
  <c r="P26" i="1"/>
  <c r="P24" i="1"/>
  <c r="P22" i="1"/>
  <c r="P20" i="1"/>
  <c r="P19" i="1"/>
  <c r="P18" i="1"/>
  <c r="P16" i="1"/>
  <c r="P15" i="1"/>
  <c r="P14" i="1"/>
  <c r="P13" i="1"/>
  <c r="P11" i="1"/>
  <c r="P10" i="1"/>
  <c r="P8" i="1"/>
  <c r="P7" i="1"/>
  <c r="P6" i="1"/>
  <c r="P5" i="1"/>
  <c r="P3" i="1"/>
  <c r="P2" i="1"/>
  <c r="G1" i="3"/>
  <c r="E1" i="3"/>
  <c r="D1" i="3"/>
  <c r="C1" i="3"/>
  <c r="A1" i="3"/>
  <c r="F7" i="1" a="1"/>
  <c r="I10" i="1" a="1"/>
  <c r="I14" i="1" a="1"/>
  <c r="I16" i="1" a="1"/>
  <c r="F8" i="1" a="1"/>
  <c r="F11" i="1" a="1"/>
  <c r="F10" i="1" a="1"/>
  <c r="I11" i="1" a="1"/>
  <c r="F15" i="1" a="1"/>
  <c r="I11" i="1" l="1"/>
  <c r="A36" i="2" s="1"/>
  <c r="F7" i="1"/>
  <c r="F10" i="1"/>
  <c r="I16" i="1"/>
  <c r="I10" i="1"/>
  <c r="A29" i="2" s="1"/>
  <c r="I14" i="1"/>
  <c r="F8" i="1"/>
  <c r="F11" i="1"/>
  <c r="F15" i="1"/>
  <c r="F13" i="1" a="1"/>
  <c r="I15" i="1" a="1"/>
  <c r="F18" i="1" a="1"/>
  <c r="F14" i="1" a="1"/>
  <c r="F16" i="1" a="1"/>
  <c r="I13" i="1" a="1"/>
  <c r="F19" i="1" a="1"/>
  <c r="F20" i="1" a="1"/>
  <c r="F19" i="1" l="1"/>
  <c r="C21" i="2"/>
  <c r="F20" i="1"/>
  <c r="C4" i="2"/>
  <c r="F18" i="1"/>
  <c r="B32" i="2"/>
  <c r="F14" i="1"/>
  <c r="B35" i="2" s="1"/>
  <c r="A33" i="2"/>
  <c r="F13" i="1"/>
  <c r="B27" i="2" s="1"/>
  <c r="A26" i="2"/>
  <c r="F16" i="1"/>
  <c r="B14" i="2"/>
  <c r="I13" i="1"/>
  <c r="I15" i="1"/>
  <c r="B8" i="2"/>
  <c r="I18" i="1" a="1"/>
  <c r="F26" i="1" a="1"/>
  <c r="F22" i="1" a="1"/>
  <c r="I20" i="1" a="1"/>
  <c r="I19" i="1" a="1"/>
  <c r="F26" i="1" l="1"/>
  <c r="E7" i="2"/>
  <c r="C26" i="2"/>
  <c r="F22" i="1"/>
  <c r="D35" i="2" s="1"/>
  <c r="C33" i="2"/>
  <c r="I20" i="1"/>
  <c r="C15" i="2"/>
  <c r="I18" i="1"/>
  <c r="C36" i="2" s="1"/>
  <c r="C10" i="2"/>
  <c r="I19" i="1"/>
  <c r="B30" i="2"/>
  <c r="I28" i="1" a="1"/>
  <c r="I24" i="1" a="1"/>
  <c r="I22" i="1" a="1"/>
  <c r="I28" i="1" l="1"/>
  <c r="G34" i="2" s="1"/>
  <c r="F13" i="2"/>
  <c r="I24" i="1"/>
  <c r="E24" i="2" s="1"/>
  <c r="E19" i="2"/>
  <c r="I22" i="1"/>
  <c r="C29" i="2"/>
  <c r="B3" i="3"/>
  <c r="M3" i="3" s="1"/>
  <c r="E25" i="2"/>
  <c r="F24" i="1" a="1"/>
  <c r="F24" i="1" l="1"/>
  <c r="D27" i="2"/>
  <c r="K3" i="3"/>
  <c r="I3" i="3"/>
  <c r="H3" i="3"/>
  <c r="E3" i="3"/>
  <c r="D3" i="3"/>
  <c r="C3" i="3" s="1"/>
  <c r="L3" i="3"/>
  <c r="B4" i="3"/>
  <c r="M4" i="3" s="1"/>
  <c r="AA14" i="1"/>
  <c r="AA13" i="1"/>
  <c r="AA12" i="1"/>
  <c r="W3" i="1"/>
  <c r="B28" i="1"/>
  <c r="B26" i="1"/>
  <c r="B24" i="1"/>
  <c r="B22" i="1"/>
  <c r="B20" i="1"/>
  <c r="B19" i="1"/>
  <c r="B18" i="1"/>
  <c r="B16" i="1"/>
  <c r="B15" i="1"/>
  <c r="B14" i="1"/>
  <c r="B13" i="1"/>
  <c r="B11" i="1"/>
  <c r="B10" i="1"/>
  <c r="B8" i="1"/>
  <c r="B7" i="1"/>
  <c r="B6" i="1"/>
  <c r="B5" i="1"/>
  <c r="B3" i="1"/>
  <c r="B2" i="1"/>
  <c r="I26" i="1" a="1"/>
  <c r="I26" i="1" l="1"/>
  <c r="E32" i="2"/>
  <c r="K4" i="3"/>
  <c r="I4" i="3"/>
  <c r="H4" i="3"/>
  <c r="E4" i="3"/>
  <c r="L4" i="3"/>
  <c r="D4" i="3"/>
  <c r="C4" i="3" s="1"/>
  <c r="B5" i="3"/>
  <c r="M5" i="3" s="1"/>
  <c r="Z2" i="1"/>
  <c r="AA2" i="1" s="1"/>
  <c r="X2" i="1"/>
  <c r="Y2" i="1"/>
  <c r="X3" i="1"/>
  <c r="Y3" i="1"/>
  <c r="Z3" i="1"/>
  <c r="AA3" i="1" s="1"/>
  <c r="W4" i="1"/>
  <c r="X4" i="1" s="1"/>
  <c r="F28" i="1" a="1"/>
  <c r="F28" i="1" l="1"/>
  <c r="F28" i="2"/>
  <c r="L5" i="3"/>
  <c r="K5" i="3"/>
  <c r="I5" i="3"/>
  <c r="H5" i="3"/>
  <c r="E5" i="3"/>
  <c r="D5" i="3"/>
  <c r="C5" i="3" s="1"/>
  <c r="W5" i="1"/>
  <c r="Y5" i="1" s="1"/>
  <c r="B6" i="3"/>
  <c r="M6" i="3" s="1"/>
  <c r="Y4" i="1"/>
  <c r="Z4" i="1"/>
  <c r="AA4" i="1" s="1"/>
  <c r="R3" i="1"/>
  <c r="F3" i="1" s="1"/>
  <c r="R2" i="1"/>
  <c r="F2" i="1" s="1"/>
  <c r="R5" i="1"/>
  <c r="F5" i="1" s="1"/>
  <c r="W6" i="1"/>
  <c r="F30" i="1" a="1"/>
  <c r="F30" i="1" l="1"/>
  <c r="G19" i="2"/>
  <c r="G4" i="3"/>
  <c r="B3" i="2"/>
  <c r="G2" i="3"/>
  <c r="A7" i="2"/>
  <c r="G3" i="3"/>
  <c r="A13" i="2"/>
  <c r="D6" i="3"/>
  <c r="C6" i="3" s="1"/>
  <c r="L6" i="3"/>
  <c r="K6" i="3"/>
  <c r="I6" i="3"/>
  <c r="H6" i="3"/>
  <c r="E6" i="3"/>
  <c r="G6" i="3"/>
  <c r="Z5" i="1"/>
  <c r="AA5" i="1" s="1"/>
  <c r="X5" i="1"/>
  <c r="R6" i="1" s="1"/>
  <c r="F6" i="1" s="1"/>
  <c r="B7" i="3"/>
  <c r="M7" i="3" s="1"/>
  <c r="X6" i="1"/>
  <c r="Y6" i="1"/>
  <c r="Z6" i="1"/>
  <c r="AA6" i="1" s="1"/>
  <c r="W7" i="1"/>
  <c r="G5" i="3" l="1"/>
  <c r="B19" i="2"/>
  <c r="I7" i="3"/>
  <c r="E7" i="3"/>
  <c r="D7" i="3"/>
  <c r="C7" i="3" s="1"/>
  <c r="H7" i="3"/>
  <c r="L7" i="3"/>
  <c r="K7" i="3"/>
  <c r="G7" i="3"/>
  <c r="B8" i="3"/>
  <c r="M8" i="3" s="1"/>
  <c r="U2" i="1"/>
  <c r="I2" i="1" s="1"/>
  <c r="X7" i="1"/>
  <c r="Y7" i="1"/>
  <c r="Z7" i="1"/>
  <c r="AA7" i="1" s="1"/>
  <c r="W8" i="1"/>
  <c r="J2" i="3" l="1"/>
  <c r="A10" i="2"/>
  <c r="K8" i="3"/>
  <c r="I8" i="3"/>
  <c r="H8" i="3"/>
  <c r="E8" i="3"/>
  <c r="D8" i="3"/>
  <c r="C8" i="3" s="1"/>
  <c r="L8" i="3"/>
  <c r="G8" i="3"/>
  <c r="J8" i="3"/>
  <c r="B9" i="3"/>
  <c r="M9" i="3" s="1"/>
  <c r="U3" i="1"/>
  <c r="I3" i="1" s="1"/>
  <c r="X8" i="1"/>
  <c r="Y8" i="1"/>
  <c r="Z8" i="1"/>
  <c r="AA8" i="1" s="1"/>
  <c r="W9" i="1"/>
  <c r="J3" i="3" l="1"/>
  <c r="A16" i="2"/>
  <c r="L9" i="3"/>
  <c r="K9" i="3"/>
  <c r="I9" i="3"/>
  <c r="E9" i="3"/>
  <c r="H9" i="3"/>
  <c r="D9" i="3"/>
  <c r="C9" i="3" s="1"/>
  <c r="J9" i="3"/>
  <c r="G9" i="3"/>
  <c r="B10" i="3"/>
  <c r="M10" i="3" s="1"/>
  <c r="Y9" i="1"/>
  <c r="X9" i="1"/>
  <c r="Z9" i="1"/>
  <c r="AA9" i="1" s="1"/>
  <c r="U5" i="1"/>
  <c r="I5" i="1" s="1"/>
  <c r="W10" i="1"/>
  <c r="J4" i="3" l="1"/>
  <c r="B6" i="2"/>
  <c r="H10" i="3"/>
  <c r="D10" i="3"/>
  <c r="C10" i="3" s="1"/>
  <c r="L10" i="3"/>
  <c r="K10" i="3"/>
  <c r="I10" i="3"/>
  <c r="E10" i="3"/>
  <c r="G10" i="3"/>
  <c r="J10" i="3"/>
  <c r="B11" i="3"/>
  <c r="M11" i="3" s="1"/>
  <c r="X10" i="1"/>
  <c r="Y10" i="1"/>
  <c r="Z10" i="1"/>
  <c r="AA10" i="1" s="1"/>
  <c r="U6" i="1"/>
  <c r="I6" i="1" s="1"/>
  <c r="W11" i="1"/>
  <c r="J5" i="3" l="1"/>
  <c r="B22" i="2"/>
  <c r="L11" i="3"/>
  <c r="K11" i="3"/>
  <c r="I11" i="3"/>
  <c r="H11" i="3"/>
  <c r="E11" i="3"/>
  <c r="D11" i="3"/>
  <c r="C11" i="3" s="1"/>
  <c r="J11" i="3"/>
  <c r="G11" i="3"/>
  <c r="B12" i="3"/>
  <c r="M12" i="3" s="1"/>
  <c r="U7" i="1"/>
  <c r="I7" i="1" s="1"/>
  <c r="X11" i="1"/>
  <c r="Y11" i="1"/>
  <c r="Z11" i="1"/>
  <c r="AA11" i="1" s="1"/>
  <c r="J6" i="3" l="1"/>
  <c r="B11" i="2"/>
  <c r="L12" i="3"/>
  <c r="K12" i="3"/>
  <c r="I12" i="3"/>
  <c r="E12" i="3"/>
  <c r="H12" i="3"/>
  <c r="D12" i="3"/>
  <c r="C12" i="3" s="1"/>
  <c r="J12" i="3"/>
  <c r="G12" i="3"/>
  <c r="B13" i="3"/>
  <c r="M13" i="3" s="1"/>
  <c r="U8" i="1"/>
  <c r="I8" i="1" s="1"/>
  <c r="J7" i="3" l="1"/>
  <c r="B17" i="2"/>
  <c r="H13" i="3"/>
  <c r="E13" i="3"/>
  <c r="D13" i="3"/>
  <c r="C13" i="3" s="1"/>
  <c r="L13" i="3"/>
  <c r="K13" i="3"/>
  <c r="I13" i="3"/>
  <c r="J13" i="3"/>
  <c r="G13" i="3"/>
  <c r="B14" i="3"/>
  <c r="M14" i="3" s="1"/>
  <c r="L14" i="3" l="1"/>
  <c r="K14" i="3"/>
  <c r="I14" i="3"/>
  <c r="H14" i="3"/>
  <c r="E14" i="3"/>
  <c r="D14" i="3"/>
  <c r="C14" i="3" s="1"/>
  <c r="G14" i="3"/>
  <c r="J14" i="3"/>
  <c r="B15" i="3"/>
  <c r="M15" i="3" s="1"/>
  <c r="B16" i="3" l="1"/>
  <c r="M16" i="3" s="1"/>
  <c r="L15" i="3"/>
  <c r="K15" i="3"/>
  <c r="I15" i="3"/>
  <c r="E15" i="3"/>
  <c r="H15" i="3"/>
  <c r="D15" i="3"/>
  <c r="C15" i="3" s="1"/>
  <c r="J15" i="3"/>
  <c r="G15" i="3"/>
  <c r="B17" i="3" l="1"/>
  <c r="M17" i="3" s="1"/>
  <c r="H16" i="3"/>
  <c r="E16" i="3"/>
  <c r="D16" i="3"/>
  <c r="C16" i="3" s="1"/>
  <c r="L16" i="3"/>
  <c r="K16" i="3"/>
  <c r="I16" i="3"/>
  <c r="G16" i="3"/>
  <c r="J16" i="3"/>
  <c r="C34" i="2"/>
  <c r="A34" i="2"/>
  <c r="B33" i="2"/>
  <c r="D28" i="2"/>
  <c r="B28" i="2"/>
  <c r="C27" i="2"/>
  <c r="A27" i="2"/>
  <c r="G20" i="2"/>
  <c r="B20" i="2"/>
  <c r="C16" i="2"/>
  <c r="B15" i="2"/>
  <c r="F14" i="2"/>
  <c r="A14" i="2"/>
  <c r="B9" i="2"/>
  <c r="D8" i="2"/>
  <c r="A8" i="2"/>
  <c r="C5" i="2"/>
  <c r="B4" i="2"/>
  <c r="B18" i="3" l="1"/>
  <c r="M18" i="3" s="1"/>
  <c r="L17" i="3"/>
  <c r="K17" i="3"/>
  <c r="I17" i="3"/>
  <c r="H17" i="3"/>
  <c r="E17" i="3"/>
  <c r="D17" i="3"/>
  <c r="C17" i="3" s="1"/>
  <c r="G17" i="3"/>
  <c r="J17" i="3"/>
  <c r="AA15" i="1"/>
  <c r="B19" i="3" l="1"/>
  <c r="L18" i="3"/>
  <c r="K18" i="3"/>
  <c r="I18" i="3"/>
  <c r="E18" i="3"/>
  <c r="H18" i="3"/>
  <c r="D18" i="3"/>
  <c r="C18" i="3" s="1"/>
  <c r="G18" i="3"/>
  <c r="J18" i="3"/>
  <c r="H19" i="3" l="1"/>
  <c r="E19" i="3"/>
  <c r="D19" i="3"/>
  <c r="C19" i="3" s="1"/>
  <c r="M19" i="3"/>
  <c r="L19" i="3"/>
  <c r="K19" i="3"/>
  <c r="I19" i="3"/>
  <c r="J19" i="3"/>
  <c r="G19" i="3"/>
  <c r="B20" i="3"/>
  <c r="H27" i="2"/>
  <c r="H28" i="2" s="1"/>
  <c r="M20" i="3" l="1"/>
  <c r="L20" i="3"/>
  <c r="K20" i="3"/>
  <c r="I20" i="3"/>
  <c r="H20" i="3"/>
  <c r="E20" i="3"/>
  <c r="D20" i="3"/>
  <c r="C20" i="3" s="1"/>
  <c r="G20" i="3"/>
  <c r="J2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<sst xmlns="http://schemas.openxmlformats.org/spreadsheetml/2006/main" count="196" uniqueCount="94">
  <si>
    <t>G #</t>
  </si>
  <si>
    <t>Day</t>
  </si>
  <si>
    <t>Date</t>
  </si>
  <si>
    <t>Time</t>
  </si>
  <si>
    <t>Teams &amp; Scores</t>
  </si>
  <si>
    <t>Host/Park/Field</t>
  </si>
  <si>
    <t>SUM</t>
  </si>
  <si>
    <t>Umpire (bases)</t>
  </si>
  <si>
    <t>Teams</t>
  </si>
  <si>
    <t>#</t>
  </si>
  <si>
    <t>Team</t>
  </si>
  <si>
    <t>Park</t>
  </si>
  <si>
    <t>Host</t>
  </si>
  <si>
    <t>vs</t>
  </si>
  <si>
    <t>WG-1</t>
  </si>
  <si>
    <t>WG-2</t>
  </si>
  <si>
    <t>WG-3</t>
  </si>
  <si>
    <t>WG-4</t>
  </si>
  <si>
    <t>WG-5</t>
  </si>
  <si>
    <t>WG-6</t>
  </si>
  <si>
    <t>WG-7</t>
  </si>
  <si>
    <t>WG-8</t>
  </si>
  <si>
    <t>WG-9</t>
  </si>
  <si>
    <t>WG-10</t>
  </si>
  <si>
    <t>WG-11</t>
  </si>
  <si>
    <t>WG-12</t>
  </si>
  <si>
    <t>WG-13</t>
  </si>
  <si>
    <t>WG-14</t>
  </si>
  <si>
    <t>Champion</t>
  </si>
  <si>
    <t>Total</t>
  </si>
  <si>
    <t>Order</t>
  </si>
  <si>
    <t>LG-2</t>
  </si>
  <si>
    <t>LG-6</t>
  </si>
  <si>
    <t>GC Name</t>
  </si>
  <si>
    <t>ABBV</t>
  </si>
  <si>
    <t>LG-1</t>
  </si>
  <si>
    <t>LG-3</t>
  </si>
  <si>
    <t>LG-4</t>
  </si>
  <si>
    <t>LG-5</t>
  </si>
  <si>
    <t>LG-15</t>
  </si>
  <si>
    <t>WG-15</t>
  </si>
  <si>
    <t>WG-16</t>
  </si>
  <si>
    <t>WG-17</t>
  </si>
  <si>
    <t>WG-18</t>
  </si>
  <si>
    <t>If Necessary</t>
  </si>
  <si>
    <t>Manager</t>
  </si>
  <si>
    <t>Email Address</t>
  </si>
  <si>
    <t>Umpire(s)</t>
  </si>
  <si>
    <t>Cell Phone</t>
  </si>
  <si>
    <t>Random #</t>
  </si>
  <si>
    <t>LL International</t>
  </si>
  <si>
    <t>LG-12</t>
  </si>
  <si>
    <t>LG-11</t>
  </si>
  <si>
    <t>Berwyn/Paoli</t>
  </si>
  <si>
    <t>Chester Valley</t>
  </si>
  <si>
    <t>Coventry</t>
  </si>
  <si>
    <t>Devon/Strafford</t>
  </si>
  <si>
    <t>GVE</t>
  </si>
  <si>
    <t>Lower Merion</t>
  </si>
  <si>
    <t>Lower Perk</t>
  </si>
  <si>
    <t>Pottsgrove-Pottstown</t>
  </si>
  <si>
    <t>Radnor/Wayne</t>
  </si>
  <si>
    <t>Upper Providence</t>
  </si>
  <si>
    <t>BP</t>
  </si>
  <si>
    <t>CV</t>
  </si>
  <si>
    <t>COV</t>
  </si>
  <si>
    <t>DS</t>
  </si>
  <si>
    <t>LM</t>
  </si>
  <si>
    <t>LP</t>
  </si>
  <si>
    <t>PGP</t>
  </si>
  <si>
    <t>RW</t>
  </si>
  <si>
    <t>UP</t>
  </si>
  <si>
    <t>BP-Field of Dreams</t>
  </si>
  <si>
    <t>CV-Monument Park</t>
  </si>
  <si>
    <t>COV-Wampler Complex</t>
  </si>
  <si>
    <t>D/S-Clarke Field</t>
  </si>
  <si>
    <t>LP-Palmer Park</t>
  </si>
  <si>
    <t>PGP-Novak Field</t>
  </si>
  <si>
    <t>R/W-Encke Park</t>
  </si>
  <si>
    <t>UP-MacFarlan Park</t>
  </si>
  <si>
    <t>G#</t>
  </si>
  <si>
    <t>Division</t>
  </si>
  <si>
    <t>Level</t>
  </si>
  <si>
    <t>Tournament</t>
  </si>
  <si>
    <t>Championship</t>
  </si>
  <si>
    <t>D27 DA</t>
  </si>
  <si>
    <t>Baseball</t>
  </si>
  <si>
    <t>GC Abbrev</t>
  </si>
  <si>
    <t>Assigned by 
D27 Gary Hall</t>
  </si>
  <si>
    <t>D27</t>
  </si>
  <si>
    <t>BB-12</t>
  </si>
  <si>
    <t>-D27-BB12</t>
  </si>
  <si>
    <t>GV-King Road</t>
  </si>
  <si>
    <t>Little League Baseball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</si>
</sst>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mmm\-dd\-yyyy"/>
    <numFmt numFmtId="166" formatCode="dd\-mmm\-yy"/>
  </numFmts>
  <fonts count="14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u/>
      <sz val="11"/>
      <color theme="10"/>
      <name val="Aptos Narrow"/>
      <family val="2"/>
      <scheme val="minor"/>
    </font>
    <font>
      <b/>
      <sz val="10"/>
      <name val="Calibri"/>
      <family val="2"/>
    </font>
    <font>
      <sz val="11"/>
      <name val="Aptos Narrow"/>
      <family val="2"/>
    </font>
    <font>
      <sz val="20"/>
      <name val="Aptos Narrow"/>
      <family val="2"/>
    </font>
    <font>
      <u/>
      <sz val="11"/>
      <color theme="1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E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>
      <alignment horizontal="center" vertical="center"/>
    </xf>
    <xf numFmtId="165" fontId="3" fillId="3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right" vertical="center"/>
    </xf>
    <xf numFmtId="18" fontId="3" fillId="3" borderId="1" xfId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1" fontId="3" fillId="0" borderId="0" xfId="1" applyNumberFormat="1" applyFont="1" applyAlignment="1">
      <alignment vertical="center"/>
    </xf>
    <xf numFmtId="0" fontId="4" fillId="5" borderId="1" xfId="1" applyFont="1" applyFill="1" applyBorder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3" borderId="1" xfId="1" applyFont="1" applyFill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64" fontId="3" fillId="6" borderId="1" xfId="1" applyNumberFormat="1" applyFont="1" applyFill="1" applyBorder="1" applyAlignment="1">
      <alignment horizontal="center" vertical="center"/>
    </xf>
    <xf numFmtId="165" fontId="3" fillId="6" borderId="1" xfId="1" applyNumberFormat="1" applyFont="1" applyFill="1" applyBorder="1" applyAlignment="1">
      <alignment horizontal="center" vertical="center"/>
    </xf>
    <xf numFmtId="18" fontId="3" fillId="6" borderId="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3" fillId="7" borderId="1" xfId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vertical="center"/>
    </xf>
    <xf numFmtId="0" fontId="3" fillId="0" borderId="0" xfId="1" quotePrefix="1" applyFont="1" applyAlignment="1">
      <alignment horizontal="center" vertical="center"/>
    </xf>
    <xf numFmtId="0" fontId="4" fillId="5" borderId="1" xfId="1" applyFont="1" applyFill="1" applyBorder="1" applyAlignment="1">
      <alignment horizontal="left" vertical="center"/>
    </xf>
    <xf numFmtId="0" fontId="3" fillId="8" borderId="1" xfId="1" applyFont="1" applyFill="1" applyBorder="1" applyAlignment="1">
      <alignment vertical="center"/>
    </xf>
    <xf numFmtId="0" fontId="3" fillId="8" borderId="1" xfId="1" applyFont="1" applyFill="1" applyBorder="1" applyAlignment="1">
      <alignment horizontal="center" vertical="center"/>
    </xf>
    <xf numFmtId="2" fontId="3" fillId="8" borderId="1" xfId="1" applyNumberFormat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8" fontId="3" fillId="7" borderId="1" xfId="1" applyNumberFormat="1" applyFont="1" applyFill="1" applyBorder="1" applyAlignment="1">
      <alignment horizontal="center" vertical="center"/>
    </xf>
    <xf numFmtId="164" fontId="3" fillId="7" borderId="1" xfId="1" applyNumberFormat="1" applyFont="1" applyFill="1" applyBorder="1" applyAlignment="1">
      <alignment horizontal="center" vertical="center"/>
    </xf>
    <xf numFmtId="165" fontId="3" fillId="7" borderId="1" xfId="1" applyNumberFormat="1" applyFont="1" applyFill="1" applyBorder="1" applyAlignment="1">
      <alignment horizontal="center" vertical="center"/>
    </xf>
    <xf numFmtId="0" fontId="4" fillId="9" borderId="1" xfId="1" applyFont="1" applyFill="1" applyBorder="1" applyAlignment="1">
      <alignment horizontal="center" vertical="center"/>
    </xf>
    <xf numFmtId="0" fontId="5" fillId="0" borderId="0" xfId="0" applyFont="1"/>
    <xf numFmtId="0" fontId="13" fillId="8" borderId="1" xfId="2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2" fillId="2" borderId="10" xfId="1" applyFont="1" applyFill="1" applyBorder="1" applyAlignment="1">
      <alignment horizontal="center" vertical="center"/>
    </xf>
    <xf numFmtId="0" fontId="3" fillId="0" borderId="0" xfId="0" applyFont="1"/>
    <xf numFmtId="0" fontId="11" fillId="10" borderId="9" xfId="0" applyFont="1" applyFill="1" applyBorder="1" applyAlignment="1">
      <alignment horizontal="center" vertical="center"/>
    </xf>
    <xf numFmtId="16" fontId="11" fillId="10" borderId="9" xfId="0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18" fontId="3" fillId="11" borderId="1" xfId="1" applyNumberFormat="1" applyFont="1" applyFill="1" applyBorder="1" applyAlignment="1">
      <alignment horizontal="center" vertical="center"/>
    </xf>
    <xf numFmtId="0" fontId="10" fillId="12" borderId="0" xfId="0" applyFont="1" applyFill="1" applyAlignment="1">
      <alignment horizontal="right" vertical="center"/>
    </xf>
    <xf numFmtId="164" fontId="3" fillId="11" borderId="1" xfId="1" applyNumberFormat="1" applyFont="1" applyFill="1" applyBorder="1" applyAlignment="1">
      <alignment horizontal="center" vertical="center"/>
    </xf>
    <xf numFmtId="165" fontId="3" fillId="11" borderId="1" xfId="1" applyNumberFormat="1" applyFont="1" applyFill="1" applyBorder="1" applyAlignment="1">
      <alignment horizontal="center" vertical="center"/>
    </xf>
    <xf numFmtId="0" fontId="3" fillId="11" borderId="1" xfId="1" applyFont="1" applyFill="1" applyBorder="1" applyAlignment="1">
      <alignment horizontal="center" vertical="center"/>
    </xf>
    <xf numFmtId="18" fontId="3" fillId="13" borderId="1" xfId="1" applyNumberFormat="1" applyFont="1" applyFill="1" applyBorder="1" applyAlignment="1">
      <alignment horizontal="center" vertical="center"/>
    </xf>
    <xf numFmtId="0" fontId="3" fillId="1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8" fillId="0" borderId="2" xfId="0" quotePrefix="1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 wrapText="1"/>
    </xf>
    <xf numFmtId="0" fontId="3" fillId="0" borderId="2" xfId="0" quotePrefix="1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4" xfId="0" quotePrefix="1" applyFont="1" applyBorder="1" applyAlignment="1">
      <alignment horizontal="right" vertical="center" wrapText="1"/>
    </xf>
    <xf numFmtId="0" fontId="3" fillId="0" borderId="3" xfId="0" quotePrefix="1" applyFont="1" applyBorder="1" applyAlignment="1">
      <alignment horizontal="right" vertical="center" wrapText="1"/>
    </xf>
    <xf numFmtId="0" fontId="12" fillId="10" borderId="13" xfId="0" applyFont="1" applyFill="1" applyBorder="1" applyAlignment="1">
      <alignment horizontal="center" vertical="center"/>
    </xf>
    <xf numFmtId="0" fontId="12" fillId="10" borderId="14" xfId="0" applyFont="1" applyFill="1" applyBorder="1" applyAlignment="1">
      <alignment horizontal="center" vertical="center"/>
    </xf>
    <xf numFmtId="0" fontId="3" fillId="0" borderId="7" xfId="0" quotePrefix="1" applyFont="1" applyBorder="1" applyAlignment="1">
      <alignment horizontal="right" vertical="center" wrapText="1"/>
    </xf>
    <xf numFmtId="0" fontId="3" fillId="0" borderId="0" xfId="0" quotePrefix="1" applyFont="1" applyAlignment="1">
      <alignment horizontal="right" vertical="center" wrapText="1"/>
    </xf>
    <xf numFmtId="0" fontId="3" fillId="0" borderId="8" xfId="0" quotePrefix="1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734925A6-7BBB-4460-98F5-58AED6F87062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9A7A9-5AF4-4BF2-8956-1FF544003F07}">
  <sheetPr>
    <pageSetUpPr fitToPage="1"/>
  </sheetPr>
  <dimension ref="A1:AB33"/>
  <sheetViews>
    <sheetView zoomScale="80" zoomScaleNormal="80" workbookViewId="0">
      <pane xSplit="4" ySplit="1" topLeftCell="E2" activePane="bottomRight" state="frozen"/>
      <selection pane="topRight" activeCell="F1" sqref="F1"/>
      <selection pane="bottomLeft" activeCell="A2" sqref="A2"/>
      <selection pane="bottomRight" activeCell="F30" sqref="F30"/>
    </sheetView>
  </sheetViews>
  <sheetFormatPr defaultColWidth="9.140625" defaultRowHeight="15" x14ac:dyDescent="0.25"/>
  <cols>
    <col min="1" max="1" width="5.85546875" style="23" customWidth="1"/>
    <col min="2" max="2" width="6.7109375" style="23" customWidth="1"/>
    <col min="3" max="3" width="12.7109375" style="24" customWidth="1"/>
    <col min="4" max="4" width="9.7109375" style="23" bestFit="1" customWidth="1"/>
    <col min="5" max="5" width="2.7109375" style="3" customWidth="1"/>
    <col min="6" max="6" width="22.7109375" style="3" customWidth="1"/>
    <col min="7" max="7" width="4.5703125" style="23" customWidth="1"/>
    <col min="8" max="8" width="4.7109375" style="3" customWidth="1"/>
    <col min="9" max="9" width="22.7109375" style="3" customWidth="1"/>
    <col min="10" max="10" width="4.5703125" style="3" customWidth="1"/>
    <col min="11" max="11" width="4.7109375" style="3" customWidth="1"/>
    <col min="12" max="12" width="23.7109375" style="23" customWidth="1"/>
    <col min="13" max="13" width="24.85546875" style="3" bestFit="1" customWidth="1"/>
    <col min="14" max="14" width="14.7109375" style="3" hidden="1" customWidth="1"/>
    <col min="15" max="15" width="2.7109375" style="3" hidden="1" customWidth="1"/>
    <col min="16" max="16" width="5.28515625" style="3" hidden="1" customWidth="1"/>
    <col min="17" max="17" width="2.7109375" style="3" hidden="1" customWidth="1"/>
    <col min="18" max="18" width="18.28515625" style="23" hidden="1" customWidth="1"/>
    <col min="19" max="20" width="3.7109375" style="23" hidden="1" customWidth="1"/>
    <col min="21" max="21" width="17.28515625" style="23" hidden="1" customWidth="1"/>
    <col min="22" max="22" width="6.5703125" style="3" customWidth="1"/>
    <col min="23" max="23" width="4.7109375" style="23" customWidth="1"/>
    <col min="24" max="24" width="22.7109375" style="3" customWidth="1"/>
    <col min="25" max="25" width="16" style="3" customWidth="1"/>
    <col min="26" max="26" width="27.140625" style="3" bestFit="1" customWidth="1"/>
    <col min="27" max="27" width="6.42578125" style="3" customWidth="1"/>
    <col min="28" max="16384" width="9.140625" style="5"/>
  </cols>
  <sheetData>
    <row r="1" spans="1:28" x14ac:dyDescent="0.25">
      <c r="A1" s="1" t="s">
        <v>0</v>
      </c>
      <c r="B1" s="1" t="s">
        <v>1</v>
      </c>
      <c r="C1" s="1" t="s">
        <v>2</v>
      </c>
      <c r="D1" s="1" t="s">
        <v>3</v>
      </c>
      <c r="E1" s="13"/>
      <c r="F1" s="63" t="s">
        <v>4</v>
      </c>
      <c r="G1" s="63"/>
      <c r="H1" s="63"/>
      <c r="I1" s="63"/>
      <c r="J1" s="63"/>
      <c r="K1" s="13"/>
      <c r="L1" s="1" t="s">
        <v>5</v>
      </c>
      <c r="M1" s="1" t="s">
        <v>47</v>
      </c>
      <c r="N1" s="1" t="s">
        <v>7</v>
      </c>
      <c r="O1" s="2"/>
      <c r="P1" s="1" t="s">
        <v>6</v>
      </c>
      <c r="Q1" s="2"/>
      <c r="R1" s="63" t="s">
        <v>8</v>
      </c>
      <c r="S1" s="63"/>
      <c r="T1" s="63"/>
      <c r="U1" s="63"/>
      <c r="W1" s="4" t="s">
        <v>9</v>
      </c>
      <c r="X1" s="4" t="s">
        <v>10</v>
      </c>
      <c r="Y1" s="4" t="s">
        <v>33</v>
      </c>
      <c r="Z1" s="4" t="s">
        <v>11</v>
      </c>
      <c r="AA1" s="4" t="s">
        <v>12</v>
      </c>
      <c r="AB1" s="3"/>
    </row>
    <row r="2" spans="1:28" x14ac:dyDescent="0.25">
      <c r="A2" s="6">
        <v>1</v>
      </c>
      <c r="B2" s="7">
        <f>+C2</f>
        <v>45829</v>
      </c>
      <c r="C2" s="8">
        <v>45829</v>
      </c>
      <c r="D2" s="10">
        <v>0.54166666666666663</v>
      </c>
      <c r="E2" s="13"/>
      <c r="F2" s="11" t="str">
        <f>+R2</f>
        <v>Pottsgrove-Pottstown</v>
      </c>
      <c r="G2" s="12">
        <v>0</v>
      </c>
      <c r="H2" s="12" t="s">
        <v>13</v>
      </c>
      <c r="I2" s="11" t="str">
        <f>+U2</f>
        <v>Radnor/Wayne</v>
      </c>
      <c r="J2" s="12">
        <v>14</v>
      </c>
      <c r="K2" s="13"/>
      <c r="L2" s="12" t="s">
        <v>58</v>
      </c>
      <c r="M2" s="53" t="s">
        <v>88</v>
      </c>
      <c r="N2" s="17"/>
      <c r="O2" s="9"/>
      <c r="P2" s="12">
        <f>+G2+J2</f>
        <v>14</v>
      </c>
      <c r="Q2" s="9"/>
      <c r="R2" s="12" t="str">
        <f>+X2</f>
        <v>Pottsgrove-Pottstown</v>
      </c>
      <c r="S2" s="12"/>
      <c r="T2" s="12"/>
      <c r="U2" s="12" t="str">
        <f>+X6</f>
        <v>Radnor/Wayne</v>
      </c>
      <c r="V2" s="14"/>
      <c r="W2" s="19">
        <v>1</v>
      </c>
      <c r="X2" s="15" t="str">
        <f>VLOOKUP($W2,'D27'!$L$25:$Q$34,2,FALSE)</f>
        <v>Pottsgrove-Pottstown</v>
      </c>
      <c r="Y2" s="15" t="str">
        <f>VLOOKUP($W2,'D27'!$L$25:$Q$34,3,FALSE)</f>
        <v>PGP-D27-BB12</v>
      </c>
      <c r="Z2" s="33" t="str">
        <f>VLOOKUP($W2,'D27'!$L$25:$Q$34,6,FALSE)</f>
        <v>PGP-Novak Field</v>
      </c>
      <c r="AA2" s="12">
        <f t="shared" ref="AA2:AA11" si="0">IF(Z2="","",COUNTIF($L$2:$L$28,$Z2))</f>
        <v>2</v>
      </c>
      <c r="AB2" s="3"/>
    </row>
    <row r="3" spans="1:28" x14ac:dyDescent="0.25">
      <c r="A3" s="6">
        <v>2</v>
      </c>
      <c r="B3" s="7">
        <f>+C3</f>
        <v>45829</v>
      </c>
      <c r="C3" s="8">
        <v>45829</v>
      </c>
      <c r="D3" s="10">
        <v>0.45833333333333331</v>
      </c>
      <c r="E3" s="13"/>
      <c r="F3" s="11" t="str">
        <f>+R3</f>
        <v>Lower Merion</v>
      </c>
      <c r="G3" s="12">
        <v>9</v>
      </c>
      <c r="H3" s="12" t="s">
        <v>13</v>
      </c>
      <c r="I3" s="11" t="str">
        <f>+U3</f>
        <v>Berwyn/Paoli</v>
      </c>
      <c r="J3" s="12">
        <v>8</v>
      </c>
      <c r="K3" s="13"/>
      <c r="L3" s="12" t="s">
        <v>58</v>
      </c>
      <c r="M3" s="53" t="s">
        <v>88</v>
      </c>
      <c r="N3" s="17"/>
      <c r="O3" s="9"/>
      <c r="P3" s="12">
        <f>+G3+J3</f>
        <v>17</v>
      </c>
      <c r="Q3" s="9"/>
      <c r="R3" s="12" t="str">
        <f>+X3</f>
        <v>Lower Merion</v>
      </c>
      <c r="S3" s="12"/>
      <c r="T3" s="12"/>
      <c r="U3" s="12" t="str">
        <f>+X7</f>
        <v>Berwyn/Paoli</v>
      </c>
      <c r="V3" s="14"/>
      <c r="W3" s="19">
        <f>+W2+1</f>
        <v>2</v>
      </c>
      <c r="X3" s="15" t="str">
        <f>VLOOKUP($W3,'D27'!$L$25:$Q$34,2,FALSE)</f>
        <v>Lower Merion</v>
      </c>
      <c r="Y3" s="15" t="str">
        <f>VLOOKUP($W3,'D27'!$L$25:$Q$34,3,FALSE)</f>
        <v>LM-D27-BB12</v>
      </c>
      <c r="Z3" s="33" t="str">
        <f>VLOOKUP($W3,'D27'!$L$25:$Q$34,6,FALSE)</f>
        <v>Lower Merion</v>
      </c>
      <c r="AA3" s="12">
        <f t="shared" si="0"/>
        <v>2</v>
      </c>
      <c r="AB3" s="3"/>
    </row>
    <row r="4" spans="1:28" x14ac:dyDescent="0.25">
      <c r="A4" s="6"/>
      <c r="B4" s="7"/>
      <c r="C4" s="8"/>
      <c r="D4" s="10"/>
      <c r="E4" s="13"/>
      <c r="F4" s="13"/>
      <c r="G4" s="12"/>
      <c r="H4" s="12"/>
      <c r="I4" s="13"/>
      <c r="J4" s="12"/>
      <c r="K4" s="13"/>
      <c r="L4" s="12"/>
      <c r="M4" s="12"/>
      <c r="N4" s="17"/>
      <c r="O4" s="9"/>
      <c r="P4" s="12"/>
      <c r="Q4" s="9"/>
      <c r="R4" s="12"/>
      <c r="S4" s="12"/>
      <c r="T4" s="12"/>
      <c r="U4" s="12"/>
      <c r="V4" s="14"/>
      <c r="W4" s="19">
        <f>+W3+1</f>
        <v>3</v>
      </c>
      <c r="X4" s="15" t="str">
        <f>VLOOKUP($W4,'D27'!$L$25:$Q$34,2,FALSE)</f>
        <v>Lower Perk</v>
      </c>
      <c r="Y4" s="15" t="str">
        <f>VLOOKUP($W4,'D27'!$L$25:$Q$34,3,FALSE)</f>
        <v>LP-D27-BB12</v>
      </c>
      <c r="Z4" s="33" t="str">
        <f>VLOOKUP($W4,'D27'!$L$25:$Q$34,6,FALSE)</f>
        <v>LP-Palmer Park</v>
      </c>
      <c r="AA4" s="12">
        <f t="shared" si="0"/>
        <v>4</v>
      </c>
      <c r="AB4" s="3"/>
    </row>
    <row r="5" spans="1:28" x14ac:dyDescent="0.25">
      <c r="A5" s="6">
        <v>3</v>
      </c>
      <c r="B5" s="7">
        <f>+C5</f>
        <v>45830</v>
      </c>
      <c r="C5" s="8">
        <v>45830</v>
      </c>
      <c r="D5" s="10">
        <v>0.625</v>
      </c>
      <c r="E5" s="13"/>
      <c r="F5" s="11" t="str">
        <f>+R5</f>
        <v>Lower Perk</v>
      </c>
      <c r="G5" s="12">
        <v>5</v>
      </c>
      <c r="H5" s="12" t="s">
        <v>13</v>
      </c>
      <c r="I5" s="11" t="str">
        <f>+U5</f>
        <v>Chester Valley</v>
      </c>
      <c r="J5" s="12">
        <v>3</v>
      </c>
      <c r="K5" s="13"/>
      <c r="L5" s="12" t="s">
        <v>75</v>
      </c>
      <c r="M5" s="53" t="s">
        <v>88</v>
      </c>
      <c r="N5" s="17"/>
      <c r="O5" s="9"/>
      <c r="P5" s="12">
        <f>+G5+J5</f>
        <v>8</v>
      </c>
      <c r="Q5" s="9"/>
      <c r="R5" s="12" t="str">
        <f>+X4</f>
        <v>Lower Perk</v>
      </c>
      <c r="S5" s="12"/>
      <c r="T5" s="12"/>
      <c r="U5" s="12" t="str">
        <f>+X8</f>
        <v>Chester Valley</v>
      </c>
      <c r="V5" s="14"/>
      <c r="W5" s="19">
        <f t="shared" ref="W5:W11" si="1">+W4+1</f>
        <v>4</v>
      </c>
      <c r="X5" s="15" t="str">
        <f>VLOOKUP($W5,'D27'!$L$25:$Q$34,2,FALSE)</f>
        <v>Devon/Strafford</v>
      </c>
      <c r="Y5" s="15" t="str">
        <f>VLOOKUP($W5,'D27'!$L$25:$Q$34,3,FALSE)</f>
        <v>DS-D27-BB12</v>
      </c>
      <c r="Z5" s="33" t="str">
        <f>VLOOKUP($W5,'D27'!$L$25:$Q$34,6,FALSE)</f>
        <v>D/S-Clarke Field</v>
      </c>
      <c r="AA5" s="12">
        <f t="shared" si="0"/>
        <v>2</v>
      </c>
      <c r="AB5" s="3"/>
    </row>
    <row r="6" spans="1:28" x14ac:dyDescent="0.25">
      <c r="A6" s="6">
        <v>4</v>
      </c>
      <c r="B6" s="7">
        <f>+C6</f>
        <v>45830</v>
      </c>
      <c r="C6" s="8">
        <v>45830</v>
      </c>
      <c r="D6" s="10">
        <v>0.54166666666666663</v>
      </c>
      <c r="E6" s="13"/>
      <c r="F6" s="11" t="str">
        <f>+R6</f>
        <v>Devon/Strafford</v>
      </c>
      <c r="G6" s="12">
        <v>7</v>
      </c>
      <c r="H6" s="12" t="s">
        <v>13</v>
      </c>
      <c r="I6" s="11" t="str">
        <f>+U6</f>
        <v>Coventry</v>
      </c>
      <c r="J6" s="12">
        <v>4</v>
      </c>
      <c r="K6" s="13"/>
      <c r="L6" s="12" t="s">
        <v>75</v>
      </c>
      <c r="M6" s="53" t="s">
        <v>88</v>
      </c>
      <c r="N6" s="17"/>
      <c r="O6" s="9"/>
      <c r="P6" s="12">
        <f>+G6+J6</f>
        <v>11</v>
      </c>
      <c r="Q6" s="9"/>
      <c r="R6" s="12" t="str">
        <f>+X5</f>
        <v>Devon/Strafford</v>
      </c>
      <c r="S6" s="12"/>
      <c r="T6" s="12"/>
      <c r="U6" s="12" t="str">
        <f t="shared" ref="U6:U8" si="2">+X9</f>
        <v>Coventry</v>
      </c>
      <c r="V6" s="14"/>
      <c r="W6" s="19">
        <f t="shared" si="1"/>
        <v>5</v>
      </c>
      <c r="X6" s="15" t="str">
        <f>VLOOKUP($W6,'D27'!$L$25:$Q$34,2,FALSE)</f>
        <v>Radnor/Wayne</v>
      </c>
      <c r="Y6" s="15" t="str">
        <f>VLOOKUP($W6,'D27'!$L$25:$Q$34,3,FALSE)</f>
        <v>RW-D27-BB12</v>
      </c>
      <c r="Z6" s="33" t="str">
        <f>VLOOKUP($W6,'D27'!$L$25:$Q$34,6,FALSE)</f>
        <v>R/W-Encke Park</v>
      </c>
      <c r="AA6" s="12">
        <f t="shared" si="0"/>
        <v>0</v>
      </c>
      <c r="AB6" s="3"/>
    </row>
    <row r="7" spans="1:28" x14ac:dyDescent="0.25">
      <c r="A7" s="6">
        <v>5</v>
      </c>
      <c r="B7" s="7">
        <f t="shared" ref="B7:B8" si="3">+C7</f>
        <v>45830</v>
      </c>
      <c r="C7" s="8">
        <v>45830</v>
      </c>
      <c r="D7" s="10">
        <v>0.58333333333333337</v>
      </c>
      <c r="E7" s="13"/>
      <c r="F7" s="13" t="str" cm="1">
        <f t="array" aca="1" ref="F7" ca="1">IF((INDIRECT("SCHEDULE!P"&amp;S7))&gt;0,(IF((INDIRECT("SCHEDULE!G"&amp;S7))&gt;(INDIRECT("SCHEDULE!J"&amp;S7)),(INDIRECT("SCHEDULE!F"&amp;S7)),(INDIRECT("SCHEDULE!I"&amp;S7)))),R7)</f>
        <v>Radnor/Wayne</v>
      </c>
      <c r="G7" s="12">
        <v>3</v>
      </c>
      <c r="H7" s="12" t="s">
        <v>13</v>
      </c>
      <c r="I7" s="11" t="str">
        <f>+U7</f>
        <v>Upper Providence</v>
      </c>
      <c r="J7" s="12">
        <v>6</v>
      </c>
      <c r="K7" s="13"/>
      <c r="L7" s="12" t="s">
        <v>92</v>
      </c>
      <c r="M7" s="53" t="s">
        <v>88</v>
      </c>
      <c r="N7" s="17"/>
      <c r="O7" s="9"/>
      <c r="P7" s="12">
        <f>+G7+J7</f>
        <v>9</v>
      </c>
      <c r="Q7" s="9"/>
      <c r="R7" s="12" t="s">
        <v>14</v>
      </c>
      <c r="S7" s="12">
        <v>2</v>
      </c>
      <c r="T7" s="12"/>
      <c r="U7" s="12" t="str">
        <f t="shared" si="2"/>
        <v>Upper Providence</v>
      </c>
      <c r="V7" s="14"/>
      <c r="W7" s="19">
        <f t="shared" si="1"/>
        <v>6</v>
      </c>
      <c r="X7" s="15" t="str">
        <f>VLOOKUP($W7,'D27'!$L$25:$Q$34,2,FALSE)</f>
        <v>Berwyn/Paoli</v>
      </c>
      <c r="Y7" s="15" t="str">
        <f>VLOOKUP($W7,'D27'!$L$25:$Q$34,3,FALSE)</f>
        <v>BP-D27-BB12</v>
      </c>
      <c r="Z7" s="33" t="str">
        <f>VLOOKUP($W7,'D27'!$L$25:$Q$34,6,FALSE)</f>
        <v>BP-Field of Dreams</v>
      </c>
      <c r="AA7" s="12">
        <f t="shared" si="0"/>
        <v>1</v>
      </c>
      <c r="AB7" s="3"/>
    </row>
    <row r="8" spans="1:28" x14ac:dyDescent="0.25">
      <c r="A8" s="6">
        <v>6</v>
      </c>
      <c r="B8" s="7">
        <f t="shared" si="3"/>
        <v>45830</v>
      </c>
      <c r="C8" s="8">
        <v>45830</v>
      </c>
      <c r="D8" s="10">
        <v>0.5</v>
      </c>
      <c r="E8" s="13"/>
      <c r="F8" s="13" t="str" cm="1">
        <f t="array" aca="1" ref="F8" ca="1">IF((INDIRECT("SCHEDULE!P"&amp;S8))&gt;0,(IF((INDIRECT("SCHEDULE!G"&amp;S8))&gt;(INDIRECT("SCHEDULE!J"&amp;S8)),(INDIRECT("SCHEDULE!F"&amp;S8)),(INDIRECT("SCHEDULE!I"&amp;S8)))),R8)</f>
        <v>Lower Merion</v>
      </c>
      <c r="G8" s="12">
        <v>4</v>
      </c>
      <c r="H8" s="12" t="s">
        <v>13</v>
      </c>
      <c r="I8" s="11" t="str">
        <f>+U8</f>
        <v>GVE</v>
      </c>
      <c r="J8" s="12">
        <v>3</v>
      </c>
      <c r="K8" s="13"/>
      <c r="L8" s="12" t="s">
        <v>92</v>
      </c>
      <c r="M8" s="53" t="s">
        <v>88</v>
      </c>
      <c r="N8" s="17"/>
      <c r="O8" s="9"/>
      <c r="P8" s="12">
        <f>+G8+J8</f>
        <v>7</v>
      </c>
      <c r="Q8" s="9"/>
      <c r="R8" s="12" t="s">
        <v>15</v>
      </c>
      <c r="S8" s="12">
        <v>3</v>
      </c>
      <c r="T8" s="12"/>
      <c r="U8" s="12" t="str">
        <f t="shared" si="2"/>
        <v>GVE</v>
      </c>
      <c r="V8" s="14"/>
      <c r="W8" s="19">
        <f t="shared" si="1"/>
        <v>7</v>
      </c>
      <c r="X8" s="15" t="str">
        <f>VLOOKUP($W8,'D27'!$L$25:$Q$34,2,FALSE)</f>
        <v>Chester Valley</v>
      </c>
      <c r="Y8" s="15" t="str">
        <f>VLOOKUP($W8,'D27'!$L$25:$Q$34,3,FALSE)</f>
        <v>CV-D27-BB12</v>
      </c>
      <c r="Z8" s="33" t="str">
        <f>VLOOKUP($W8,'D27'!$L$25:$Q$34,6,FALSE)</f>
        <v>CV-Monument Park</v>
      </c>
      <c r="AA8" s="12">
        <f t="shared" si="0"/>
        <v>2</v>
      </c>
      <c r="AB8" s="3"/>
    </row>
    <row r="9" spans="1:28" x14ac:dyDescent="0.25">
      <c r="A9" s="6"/>
      <c r="B9" s="7"/>
      <c r="C9" s="8"/>
      <c r="D9" s="10"/>
      <c r="E9" s="13"/>
      <c r="F9" s="13"/>
      <c r="G9" s="12"/>
      <c r="H9" s="12"/>
      <c r="I9" s="13"/>
      <c r="J9" s="12"/>
      <c r="K9" s="13"/>
      <c r="L9" s="12"/>
      <c r="M9" s="12"/>
      <c r="N9" s="17"/>
      <c r="O9" s="9"/>
      <c r="P9" s="12"/>
      <c r="Q9" s="9"/>
      <c r="R9" s="12"/>
      <c r="S9" s="12"/>
      <c r="T9" s="12"/>
      <c r="U9" s="12"/>
      <c r="V9" s="14"/>
      <c r="W9" s="19">
        <f t="shared" si="1"/>
        <v>8</v>
      </c>
      <c r="X9" s="15" t="str">
        <f>VLOOKUP($W9,'D27'!$L$25:$Q$34,2,FALSE)</f>
        <v>Coventry</v>
      </c>
      <c r="Y9" s="15" t="str">
        <f>VLOOKUP($W9,'D27'!$L$25:$Q$34,3,FALSE)</f>
        <v>COV-D27-BB12</v>
      </c>
      <c r="Z9" s="33" t="str">
        <f>VLOOKUP($W9,'D27'!$L$25:$Q$34,6,FALSE)</f>
        <v>COV-Wampler Complex</v>
      </c>
      <c r="AA9" s="12">
        <f t="shared" si="0"/>
        <v>2</v>
      </c>
      <c r="AB9" s="3"/>
    </row>
    <row r="10" spans="1:28" x14ac:dyDescent="0.25">
      <c r="A10" s="6">
        <v>7</v>
      </c>
      <c r="B10" s="7">
        <f t="shared" ref="B10:B11" si="4">+C10</f>
        <v>45832</v>
      </c>
      <c r="C10" s="8">
        <v>45832</v>
      </c>
      <c r="D10" s="42">
        <v>0.83333333333333337</v>
      </c>
      <c r="E10" s="13"/>
      <c r="F10" s="13" t="str" cm="1">
        <f t="array" aca="1" ref="F10" ca="1">IF((INDIRECT("SCHEDULE!P"&amp;S10))&gt;0,(IF((INDIRECT("SCHEDULE!G"&amp;S10))&lt;(INDIRECT("SCHEDULE!J"&amp;S10)),(INDIRECT("SCHEDULE!F"&amp;S10)),(INDIRECT("SCHEDULE!I"&amp;S10)))),R10)</f>
        <v>Berwyn/Paoli</v>
      </c>
      <c r="G10" s="12">
        <v>7</v>
      </c>
      <c r="H10" s="12" t="s">
        <v>13</v>
      </c>
      <c r="I10" s="13" t="str" cm="1">
        <f t="array" aca="1" ref="I10" ca="1">IF((INDIRECT("SCHEDULE!P"&amp;T10))&gt;0,(IF((INDIRECT("SCHEDULE!G"&amp;T10))&lt;(INDIRECT("SCHEDULE!J"&amp;T10)),(INDIRECT("SCHEDULE!F"&amp;T10)),(INDIRECT("SCHEDULE!I"&amp;T10)))),U10)</f>
        <v>Chester Valley</v>
      </c>
      <c r="J10" s="12">
        <v>6</v>
      </c>
      <c r="K10" s="13"/>
      <c r="L10" s="12" t="s">
        <v>77</v>
      </c>
      <c r="M10" s="53" t="s">
        <v>88</v>
      </c>
      <c r="N10" s="17"/>
      <c r="O10" s="9"/>
      <c r="P10" s="12">
        <f>+G10+J10</f>
        <v>13</v>
      </c>
      <c r="Q10" s="9"/>
      <c r="R10" s="12" t="s">
        <v>31</v>
      </c>
      <c r="S10" s="12">
        <v>3</v>
      </c>
      <c r="T10" s="12">
        <v>5</v>
      </c>
      <c r="U10" s="12" t="s">
        <v>36</v>
      </c>
      <c r="V10" s="14"/>
      <c r="W10" s="19">
        <f t="shared" si="1"/>
        <v>9</v>
      </c>
      <c r="X10" s="15" t="str">
        <f>VLOOKUP($W10,'D27'!$L$25:$Q$34,2,FALSE)</f>
        <v>Upper Providence</v>
      </c>
      <c r="Y10" s="15" t="str">
        <f>VLOOKUP($W10,'D27'!$L$25:$Q$34,3,FALSE)</f>
        <v>UP-D27-BB12</v>
      </c>
      <c r="Z10" s="33" t="str">
        <f>VLOOKUP($W10,'D27'!$L$25:$Q$34,6,FALSE)</f>
        <v>UP-MacFarlan Park</v>
      </c>
      <c r="AA10" s="12">
        <f t="shared" si="0"/>
        <v>2</v>
      </c>
      <c r="AB10" s="3"/>
    </row>
    <row r="11" spans="1:28" x14ac:dyDescent="0.25">
      <c r="A11" s="6">
        <v>8</v>
      </c>
      <c r="B11" s="7">
        <f t="shared" si="4"/>
        <v>45832</v>
      </c>
      <c r="C11" s="8">
        <v>45832</v>
      </c>
      <c r="D11" s="10">
        <v>0.75</v>
      </c>
      <c r="E11" s="13"/>
      <c r="F11" s="13" t="str" cm="1">
        <f t="array" aca="1" ref="F11" ca="1">IF((INDIRECT("SCHEDULE!P"&amp;S11))&gt;0,(IF((INDIRECT("SCHEDULE!G"&amp;S11))&lt;(INDIRECT("SCHEDULE!J"&amp;S11)),(INDIRECT("SCHEDULE!F"&amp;S11)),(INDIRECT("SCHEDULE!I"&amp;S11)))),R11)</f>
        <v>Pottsgrove-Pottstown</v>
      </c>
      <c r="G11" s="12">
        <v>2</v>
      </c>
      <c r="H11" s="12" t="s">
        <v>13</v>
      </c>
      <c r="I11" s="13" t="str" cm="1">
        <f t="array" aca="1" ref="I11" ca="1">IF((INDIRECT("SCHEDULE!P"&amp;T11))&gt;0,(IF((INDIRECT("SCHEDULE!G"&amp;T11))&lt;(INDIRECT("SCHEDULE!J"&amp;T11)),(INDIRECT("SCHEDULE!F"&amp;T11)),(INDIRECT("SCHEDULE!I"&amp;T11)))),U11)</f>
        <v>Coventry</v>
      </c>
      <c r="J11" s="12">
        <v>16</v>
      </c>
      <c r="K11" s="13"/>
      <c r="L11" s="12" t="s">
        <v>77</v>
      </c>
      <c r="M11" s="53" t="s">
        <v>88</v>
      </c>
      <c r="N11" s="17"/>
      <c r="O11" s="9"/>
      <c r="P11" s="12">
        <f>+G11+J11</f>
        <v>18</v>
      </c>
      <c r="Q11" s="9"/>
      <c r="R11" s="12" t="s">
        <v>35</v>
      </c>
      <c r="S11" s="12">
        <v>2</v>
      </c>
      <c r="T11" s="12">
        <v>6</v>
      </c>
      <c r="U11" s="12" t="s">
        <v>37</v>
      </c>
      <c r="V11" s="14"/>
      <c r="W11" s="19">
        <f t="shared" si="1"/>
        <v>10</v>
      </c>
      <c r="X11" s="15" t="str">
        <f>VLOOKUP($W11,'D27'!$L$25:$Q$34,2,FALSE)</f>
        <v>GVE</v>
      </c>
      <c r="Y11" s="15" t="str">
        <f>VLOOKUP($W11,'D27'!$L$25:$Q$34,3,FALSE)</f>
        <v>GVE-D27-BB12</v>
      </c>
      <c r="Z11" s="33" t="str">
        <f>VLOOKUP($W11,'D27'!$L$25:$Q$34,6,FALSE)</f>
        <v>GV-King Road</v>
      </c>
      <c r="AA11" s="12">
        <f t="shared" si="0"/>
        <v>2</v>
      </c>
      <c r="AB11" s="3"/>
    </row>
    <row r="12" spans="1:28" x14ac:dyDescent="0.25">
      <c r="A12" s="6"/>
      <c r="B12" s="7"/>
      <c r="C12" s="8"/>
      <c r="D12" s="10"/>
      <c r="E12" s="13"/>
      <c r="F12" s="13"/>
      <c r="G12" s="12"/>
      <c r="H12" s="12"/>
      <c r="I12" s="13"/>
      <c r="J12" s="12"/>
      <c r="K12" s="13"/>
      <c r="L12" s="12"/>
      <c r="M12" s="12"/>
      <c r="N12" s="17"/>
      <c r="O12" s="9"/>
      <c r="P12" s="12"/>
      <c r="Q12" s="9"/>
      <c r="R12" s="12"/>
      <c r="S12" s="12"/>
      <c r="T12" s="12"/>
      <c r="U12" s="12"/>
      <c r="V12" s="14"/>
      <c r="W12" s="12"/>
      <c r="X12" s="16"/>
      <c r="Y12" s="16"/>
      <c r="Z12" s="16"/>
      <c r="AA12" s="12" t="str">
        <f>IF(Z12="","",COUNTIF(#REF!,$Z12))</f>
        <v/>
      </c>
      <c r="AB12" s="3"/>
    </row>
    <row r="13" spans="1:28" x14ac:dyDescent="0.25">
      <c r="A13" s="6">
        <v>9</v>
      </c>
      <c r="B13" s="7">
        <f t="shared" ref="B13:B16" si="5">+C13</f>
        <v>45833</v>
      </c>
      <c r="C13" s="8">
        <v>45833</v>
      </c>
      <c r="D13" s="10">
        <v>0.75</v>
      </c>
      <c r="E13" s="13"/>
      <c r="F13" s="13" t="str" cm="1">
        <f t="array" aca="1" ref="F13" ca="1">IF((INDIRECT("SCHEDULE!P"&amp;S13))&gt;0,(IF((INDIRECT("SCHEDULE!G"&amp;S13))&gt;(INDIRECT("SCHEDULE!J"&amp;S13)),(INDIRECT("SCHEDULE!F"&amp;S13)),(INDIRECT("SCHEDULE!I"&amp;S13)))),R13)</f>
        <v>Berwyn/Paoli</v>
      </c>
      <c r="G13" s="12">
        <v>0</v>
      </c>
      <c r="H13" s="12" t="s">
        <v>13</v>
      </c>
      <c r="I13" s="13" t="str" cm="1">
        <f t="array" aca="1" ref="I13" ca="1">IF((INDIRECT("SCHEDULE!P"&amp;T13))&gt;0,(IF((INDIRECT("SCHEDULE!G"&amp;T13))&lt;(INDIRECT("SCHEDULE!J"&amp;T13)),(INDIRECT("SCHEDULE!F"&amp;T13)),(INDIRECT("SCHEDULE!I"&amp;T13)))),U13)</f>
        <v>Radnor/Wayne</v>
      </c>
      <c r="J13" s="12">
        <v>8</v>
      </c>
      <c r="K13" s="13"/>
      <c r="L13" s="12" t="s">
        <v>72</v>
      </c>
      <c r="M13" s="53" t="s">
        <v>88</v>
      </c>
      <c r="N13" s="17"/>
      <c r="O13" s="9"/>
      <c r="P13" s="12">
        <f>+G13+J13</f>
        <v>8</v>
      </c>
      <c r="Q13" s="9"/>
      <c r="R13" s="12" t="s">
        <v>20</v>
      </c>
      <c r="S13" s="12">
        <v>10</v>
      </c>
      <c r="T13" s="12">
        <v>7</v>
      </c>
      <c r="U13" s="12" t="s">
        <v>38</v>
      </c>
      <c r="V13" s="14"/>
      <c r="W13" s="12"/>
      <c r="X13" s="16"/>
      <c r="Y13" s="16"/>
      <c r="Z13" s="16"/>
      <c r="AA13" s="12" t="str">
        <f>IF(Z13="","",COUNTIF(#REF!,$Z13))</f>
        <v/>
      </c>
      <c r="AB13" s="3"/>
    </row>
    <row r="14" spans="1:28" x14ac:dyDescent="0.25">
      <c r="A14" s="6">
        <v>10</v>
      </c>
      <c r="B14" s="7">
        <f t="shared" si="5"/>
        <v>45833</v>
      </c>
      <c r="C14" s="8">
        <v>45833</v>
      </c>
      <c r="D14" s="42">
        <v>0.79166666666666663</v>
      </c>
      <c r="E14" s="13"/>
      <c r="F14" s="13" t="str" cm="1">
        <f t="array" aca="1" ref="F14" ca="1">IF((INDIRECT("SCHEDULE!P"&amp;S14))&gt;0,(IF((INDIRECT("SCHEDULE!G"&amp;S14))&gt;(INDIRECT("SCHEDULE!J"&amp;S14)),(INDIRECT("SCHEDULE!F"&amp;S14)),(INDIRECT("SCHEDULE!I"&amp;S14)))),R14)</f>
        <v>Coventry</v>
      </c>
      <c r="G14" s="12">
        <v>2</v>
      </c>
      <c r="H14" s="12" t="s">
        <v>13</v>
      </c>
      <c r="I14" s="13" t="str" cm="1">
        <f t="array" aca="1" ref="I14" ca="1">IF((INDIRECT("SCHEDULE!P"&amp;T14))&gt;0,(IF((INDIRECT("SCHEDULE!G"&amp;T14))&lt;(INDIRECT("SCHEDULE!J"&amp;T14)),(INDIRECT("SCHEDULE!F"&amp;T14)),(INDIRECT("SCHEDULE!I"&amp;T14)))),U14)</f>
        <v>GVE</v>
      </c>
      <c r="J14" s="12">
        <v>13</v>
      </c>
      <c r="K14" s="13"/>
      <c r="L14" s="12" t="s">
        <v>74</v>
      </c>
      <c r="M14" s="53" t="s">
        <v>88</v>
      </c>
      <c r="N14" s="17"/>
      <c r="O14" s="9"/>
      <c r="P14" s="12">
        <f>+G14+J14</f>
        <v>15</v>
      </c>
      <c r="Q14" s="9"/>
      <c r="R14" s="12" t="s">
        <v>21</v>
      </c>
      <c r="S14" s="12">
        <v>11</v>
      </c>
      <c r="T14" s="12">
        <v>8</v>
      </c>
      <c r="U14" s="12" t="s">
        <v>32</v>
      </c>
      <c r="V14" s="14"/>
      <c r="W14" s="12"/>
      <c r="X14" s="16"/>
      <c r="Y14" s="16"/>
      <c r="Z14" s="16"/>
      <c r="AA14" s="12" t="str">
        <f>IF(Z14="","",COUNTIF(#REF!,$Z14))</f>
        <v/>
      </c>
      <c r="AB14" s="3"/>
    </row>
    <row r="15" spans="1:28" x14ac:dyDescent="0.25">
      <c r="A15" s="6">
        <v>11</v>
      </c>
      <c r="B15" s="57">
        <f t="shared" si="5"/>
        <v>45835</v>
      </c>
      <c r="C15" s="58">
        <v>45835</v>
      </c>
      <c r="D15" s="55">
        <v>0.75</v>
      </c>
      <c r="E15" s="13"/>
      <c r="F15" s="13" t="str" cm="1">
        <f t="array" aca="1" ref="F15" ca="1">IF((INDIRECT("SCHEDULE!P"&amp;S15))&gt;0,(IF((INDIRECT("SCHEDULE!G"&amp;S15))&gt;(INDIRECT("SCHEDULE!J"&amp;S15)),(INDIRECT("SCHEDULE!F"&amp;S15)),(INDIRECT("SCHEDULE!I"&amp;S15)))),R15)</f>
        <v>Lower Perk</v>
      </c>
      <c r="G15" s="12">
        <v>6</v>
      </c>
      <c r="H15" s="12" t="s">
        <v>13</v>
      </c>
      <c r="I15" s="13" t="str" cm="1">
        <f t="array" aca="1" ref="I15" ca="1">IF((INDIRECT("SCHEDULE!P"&amp;T15))&gt;0,(IF((INDIRECT("SCHEDULE!G"&amp;T15))&gt;(INDIRECT("SCHEDULE!J"&amp;T15)),(INDIRECT("SCHEDULE!F"&amp;T15)),(INDIRECT("SCHEDULE!I"&amp;T15)))),U15)</f>
        <v>Upper Providence</v>
      </c>
      <c r="J15" s="12">
        <v>3</v>
      </c>
      <c r="K15" s="13"/>
      <c r="L15" s="59" t="s">
        <v>79</v>
      </c>
      <c r="M15" s="53" t="s">
        <v>88</v>
      </c>
      <c r="N15" s="17"/>
      <c r="O15" s="9"/>
      <c r="P15" s="12">
        <f>+G15+J15</f>
        <v>9</v>
      </c>
      <c r="Q15" s="9"/>
      <c r="R15" s="12" t="s">
        <v>16</v>
      </c>
      <c r="S15" s="12">
        <v>5</v>
      </c>
      <c r="T15" s="12">
        <v>7</v>
      </c>
      <c r="U15" s="12" t="s">
        <v>18</v>
      </c>
      <c r="V15" s="14"/>
      <c r="W15" s="19"/>
      <c r="X15" s="27" t="s">
        <v>29</v>
      </c>
      <c r="Y15" s="27"/>
      <c r="Z15" s="27"/>
      <c r="AA15" s="19">
        <f>SUM(AA2:AA14)</f>
        <v>19</v>
      </c>
      <c r="AB15" s="3"/>
    </row>
    <row r="16" spans="1:28" x14ac:dyDescent="0.25">
      <c r="A16" s="6">
        <v>12</v>
      </c>
      <c r="B16" s="57">
        <f t="shared" si="5"/>
        <v>45835</v>
      </c>
      <c r="C16" s="58">
        <v>45835</v>
      </c>
      <c r="D16" s="55">
        <v>0.8125</v>
      </c>
      <c r="E16" s="13"/>
      <c r="F16" s="13" t="str" cm="1">
        <f t="array" aca="1" ref="F16" ca="1">IF((INDIRECT("SCHEDULE!P"&amp;S16))&gt;0,(IF((INDIRECT("SCHEDULE!G"&amp;S16))&gt;(INDIRECT("SCHEDULE!J"&amp;S16)),(INDIRECT("SCHEDULE!F"&amp;S16)),(INDIRECT("SCHEDULE!I"&amp;S16)))),R16)</f>
        <v>Lower Merion</v>
      </c>
      <c r="G16" s="12">
        <v>5</v>
      </c>
      <c r="H16" s="12" t="s">
        <v>13</v>
      </c>
      <c r="I16" s="13" t="str" cm="1">
        <f t="array" aca="1" ref="I16" ca="1">IF((INDIRECT("SCHEDULE!P"&amp;T16))&gt;0,(IF((INDIRECT("SCHEDULE!G"&amp;T16))&gt;(INDIRECT("SCHEDULE!J"&amp;T16)),(INDIRECT("SCHEDULE!F"&amp;T16)),(INDIRECT("SCHEDULE!I"&amp;T16)))),U16)</f>
        <v>Devon/Strafford</v>
      </c>
      <c r="J16" s="12">
        <v>2</v>
      </c>
      <c r="K16" s="13"/>
      <c r="L16" s="59" t="s">
        <v>79</v>
      </c>
      <c r="M16" s="53" t="s">
        <v>88</v>
      </c>
      <c r="N16" s="17"/>
      <c r="O16" s="9"/>
      <c r="P16" s="12">
        <f>+G16+J16</f>
        <v>7</v>
      </c>
      <c r="Q16" s="9"/>
      <c r="R16" s="12" t="s">
        <v>19</v>
      </c>
      <c r="S16" s="12">
        <v>8</v>
      </c>
      <c r="T16" s="12">
        <v>6</v>
      </c>
      <c r="U16" s="12" t="s">
        <v>17</v>
      </c>
      <c r="V16" s="14"/>
      <c r="X16" s="23"/>
      <c r="Y16" s="23"/>
      <c r="Z16" s="23"/>
      <c r="AA16" s="23"/>
      <c r="AB16" s="3"/>
    </row>
    <row r="17" spans="1:28" x14ac:dyDescent="0.25">
      <c r="A17" s="6"/>
      <c r="B17" s="7"/>
      <c r="C17" s="8"/>
      <c r="D17" s="10"/>
      <c r="E17" s="13"/>
      <c r="F17" s="13"/>
      <c r="G17" s="12"/>
      <c r="H17" s="12"/>
      <c r="I17" s="13"/>
      <c r="J17" s="12"/>
      <c r="K17" s="13"/>
      <c r="L17" s="12"/>
      <c r="M17" s="12"/>
      <c r="N17" s="17"/>
      <c r="O17" s="9"/>
      <c r="P17" s="12"/>
      <c r="Q17" s="9"/>
      <c r="R17" s="12"/>
      <c r="S17" s="12"/>
      <c r="T17" s="12"/>
      <c r="U17" s="12"/>
      <c r="V17" s="14"/>
      <c r="X17" s="23"/>
      <c r="Y17" s="23"/>
      <c r="Z17" s="23"/>
      <c r="AA17" s="23"/>
      <c r="AB17" s="3"/>
    </row>
    <row r="18" spans="1:28" x14ac:dyDescent="0.25">
      <c r="A18" s="6">
        <v>13</v>
      </c>
      <c r="B18" s="7">
        <f t="shared" ref="B18:B20" si="6">+C18</f>
        <v>45836</v>
      </c>
      <c r="C18" s="8">
        <v>45836</v>
      </c>
      <c r="D18" s="10">
        <v>0.41666666666666669</v>
      </c>
      <c r="E18" s="13"/>
      <c r="F18" s="13" t="str" cm="1">
        <f t="array" aca="1" ref="F18" ca="1">IF((INDIRECT("SCHEDULE!P"&amp;S18))&gt;0,(IF((INDIRECT("SCHEDULE!G"&amp;S18))&gt;(INDIRECT("SCHEDULE!J"&amp;S18)),(INDIRECT("SCHEDULE!F"&amp;S18)),(INDIRECT("SCHEDULE!I"&amp;S18)))),R18)</f>
        <v>GVE</v>
      </c>
      <c r="G18" s="12">
        <v>2</v>
      </c>
      <c r="H18" s="12" t="s">
        <v>13</v>
      </c>
      <c r="I18" s="13" t="str" cm="1">
        <f t="array" aca="1" ref="I18" ca="1">IF((INDIRECT("SCHEDULE!P"&amp;T18))&gt;0,(IF((INDIRECT("SCHEDULE!G"&amp;T18))&lt;(INDIRECT("SCHEDULE!J"&amp;T18)),(INDIRECT("SCHEDULE!F"&amp;T18)),(INDIRECT("SCHEDULE!I"&amp;T18)))),U18)</f>
        <v>Upper Providence</v>
      </c>
      <c r="J18" s="12">
        <v>0</v>
      </c>
      <c r="K18" s="13"/>
      <c r="L18" s="12" t="s">
        <v>73</v>
      </c>
      <c r="M18" s="53" t="s">
        <v>88</v>
      </c>
      <c r="N18" s="17"/>
      <c r="O18" s="9"/>
      <c r="P18" s="12">
        <f>+G18+J18</f>
        <v>2</v>
      </c>
      <c r="Q18" s="9"/>
      <c r="R18" s="12" t="s">
        <v>23</v>
      </c>
      <c r="S18" s="12">
        <v>14</v>
      </c>
      <c r="T18" s="12">
        <v>15</v>
      </c>
      <c r="U18" s="12" t="s">
        <v>52</v>
      </c>
      <c r="V18" s="14"/>
      <c r="X18" s="23"/>
      <c r="Y18" s="23"/>
      <c r="Z18" s="23"/>
      <c r="AA18" s="23"/>
      <c r="AB18" s="3"/>
    </row>
    <row r="19" spans="1:28" x14ac:dyDescent="0.25">
      <c r="A19" s="6">
        <v>14</v>
      </c>
      <c r="B19" s="7">
        <f t="shared" si="6"/>
        <v>45836</v>
      </c>
      <c r="C19" s="8">
        <v>45836</v>
      </c>
      <c r="D19" s="10">
        <v>0.5</v>
      </c>
      <c r="E19" s="13"/>
      <c r="F19" s="13" t="str" cm="1">
        <f t="array" aca="1" ref="F19" ca="1">IF((INDIRECT("SCHEDULE!P"&amp;S19))&gt;0,(IF((INDIRECT("SCHEDULE!G"&amp;S19))&lt;(INDIRECT("SCHEDULE!J"&amp;S19)),(INDIRECT("SCHEDULE!F"&amp;S19)),(INDIRECT("SCHEDULE!I"&amp;S19)))),R19)</f>
        <v>Devon/Strafford</v>
      </c>
      <c r="G19" s="12">
        <v>2</v>
      </c>
      <c r="H19" s="12" t="s">
        <v>13</v>
      </c>
      <c r="I19" s="13" t="str" cm="1">
        <f t="array" aca="1" ref="I19" ca="1">IF((INDIRECT("SCHEDULE!P"&amp;T19))&gt;0,(IF((INDIRECT("SCHEDULE!G"&amp;T19))&gt;(INDIRECT("SCHEDULE!J"&amp;T19)),(INDIRECT("SCHEDULE!F"&amp;T19)),(INDIRECT("SCHEDULE!I"&amp;T19)))),U19)</f>
        <v>Radnor/Wayne</v>
      </c>
      <c r="J19" s="12">
        <v>7</v>
      </c>
      <c r="K19" s="13"/>
      <c r="L19" s="12" t="s">
        <v>73</v>
      </c>
      <c r="M19" s="53" t="s">
        <v>88</v>
      </c>
      <c r="N19" s="17"/>
      <c r="O19" s="9"/>
      <c r="P19" s="12">
        <f>+G19+J19</f>
        <v>9</v>
      </c>
      <c r="Q19" s="9"/>
      <c r="R19" s="12" t="s">
        <v>51</v>
      </c>
      <c r="S19" s="12">
        <v>16</v>
      </c>
      <c r="T19" s="12">
        <v>13</v>
      </c>
      <c r="U19" s="12" t="s">
        <v>22</v>
      </c>
      <c r="V19" s="14"/>
      <c r="X19" s="23"/>
      <c r="Y19" s="23"/>
      <c r="Z19" s="23"/>
      <c r="AA19" s="23"/>
      <c r="AB19" s="3"/>
    </row>
    <row r="20" spans="1:28" x14ac:dyDescent="0.25">
      <c r="A20" s="6">
        <v>15</v>
      </c>
      <c r="B20" s="43">
        <f t="shared" si="6"/>
        <v>45837</v>
      </c>
      <c r="C20" s="44">
        <v>45837</v>
      </c>
      <c r="D20" s="55">
        <v>0.72916666666666663</v>
      </c>
      <c r="E20" s="13"/>
      <c r="F20" s="13" t="str" cm="1">
        <f t="array" aca="1" ref="F20" ca="1">IF((INDIRECT("SCHEDULE!P"&amp;S20))&gt;0,(IF((INDIRECT("SCHEDULE!G"&amp;S20))&gt;(INDIRECT("SCHEDULE!J"&amp;S20)),(INDIRECT("SCHEDULE!F"&amp;S20)),(INDIRECT("SCHEDULE!I"&amp;S20)))),R20)</f>
        <v>Lower Perk</v>
      </c>
      <c r="G20" s="12">
        <v>8</v>
      </c>
      <c r="H20" s="12" t="s">
        <v>13</v>
      </c>
      <c r="I20" s="13" t="str" cm="1">
        <f t="array" aca="1" ref="I20" ca="1">IF((INDIRECT("SCHEDULE!P"&amp;T20))&gt;0,(IF((INDIRECT("SCHEDULE!G"&amp;T20))&gt;(INDIRECT("SCHEDULE!J"&amp;T20)),(INDIRECT("SCHEDULE!F"&amp;T20)),(INDIRECT("SCHEDULE!I"&amp;T20)))),U20)</f>
        <v>Lower Merion</v>
      </c>
      <c r="J20" s="12">
        <v>1</v>
      </c>
      <c r="K20" s="13"/>
      <c r="L20" s="12" t="s">
        <v>76</v>
      </c>
      <c r="M20" s="53" t="s">
        <v>88</v>
      </c>
      <c r="N20" s="17"/>
      <c r="O20" s="9"/>
      <c r="P20" s="12">
        <f>+G20+J20</f>
        <v>9</v>
      </c>
      <c r="Q20" s="9"/>
      <c r="R20" s="12" t="s">
        <v>24</v>
      </c>
      <c r="S20" s="12">
        <v>15</v>
      </c>
      <c r="T20" s="12">
        <v>16</v>
      </c>
      <c r="U20" s="12" t="s">
        <v>25</v>
      </c>
      <c r="V20" s="14"/>
      <c r="X20" s="23"/>
      <c r="Y20" s="23"/>
      <c r="Z20" s="23"/>
      <c r="AA20" s="23"/>
      <c r="AB20" s="3"/>
    </row>
    <row r="21" spans="1:28" x14ac:dyDescent="0.25">
      <c r="A21" s="6"/>
      <c r="B21" s="7"/>
      <c r="C21" s="8"/>
      <c r="D21" s="10"/>
      <c r="E21" s="13"/>
      <c r="F21" s="13"/>
      <c r="G21" s="12"/>
      <c r="H21" s="12"/>
      <c r="I21" s="13"/>
      <c r="J21" s="12"/>
      <c r="K21" s="13"/>
      <c r="L21" s="12"/>
      <c r="M21" s="12"/>
      <c r="N21" s="17"/>
      <c r="O21" s="9"/>
      <c r="P21" s="12"/>
      <c r="Q21" s="9"/>
      <c r="R21" s="12"/>
      <c r="S21" s="12"/>
      <c r="T21" s="12"/>
      <c r="U21" s="12"/>
      <c r="V21" s="14"/>
      <c r="X21" s="23"/>
      <c r="Y21" s="23"/>
      <c r="Z21" s="23"/>
      <c r="AA21" s="23"/>
      <c r="AB21" s="3"/>
    </row>
    <row r="22" spans="1:28" x14ac:dyDescent="0.25">
      <c r="A22" s="6">
        <v>16</v>
      </c>
      <c r="B22" s="7">
        <f t="shared" ref="B22" si="7">+C22</f>
        <v>45837</v>
      </c>
      <c r="C22" s="8">
        <v>45837</v>
      </c>
      <c r="D22" s="55">
        <v>0.64583333333333337</v>
      </c>
      <c r="E22" s="13"/>
      <c r="F22" s="13" t="str" cm="1">
        <f t="array" aca="1" ref="F22" ca="1">IF((INDIRECT("SCHEDULE!P"&amp;S22))&gt;0,(IF((INDIRECT("SCHEDULE!G"&amp;S22))&gt;(INDIRECT("SCHEDULE!J"&amp;S22)),(INDIRECT("SCHEDULE!F"&amp;S22)),(INDIRECT("SCHEDULE!I"&amp;S22)))),R22)</f>
        <v>GVE</v>
      </c>
      <c r="G22" s="12">
        <v>0</v>
      </c>
      <c r="H22" s="12" t="s">
        <v>13</v>
      </c>
      <c r="I22" s="13" t="str" cm="1">
        <f t="array" aca="1" ref="I22" ca="1">IF((INDIRECT("SCHEDULE!P"&amp;T22))&gt;0,(IF((INDIRECT("SCHEDULE!G"&amp;T22))&gt;(INDIRECT("SCHEDULE!J"&amp;T22)),(INDIRECT("SCHEDULE!F"&amp;T22)),(INDIRECT("SCHEDULE!I"&amp;T22)))),U22)</f>
        <v>Radnor/Wayne</v>
      </c>
      <c r="J22" s="12">
        <v>6</v>
      </c>
      <c r="K22" s="13"/>
      <c r="L22" s="12" t="s">
        <v>76</v>
      </c>
      <c r="M22" s="53" t="s">
        <v>88</v>
      </c>
      <c r="N22" s="17"/>
      <c r="O22" s="9"/>
      <c r="P22" s="12">
        <f>+G22+J22</f>
        <v>6</v>
      </c>
      <c r="Q22" s="9"/>
      <c r="R22" s="12" t="s">
        <v>26</v>
      </c>
      <c r="S22" s="12">
        <v>18</v>
      </c>
      <c r="T22" s="12">
        <v>19</v>
      </c>
      <c r="U22" s="12" t="s">
        <v>27</v>
      </c>
      <c r="V22" s="14"/>
      <c r="X22" s="23"/>
      <c r="Y22" s="23"/>
      <c r="Z22" s="23"/>
      <c r="AA22" s="23"/>
      <c r="AB22" s="3"/>
    </row>
    <row r="23" spans="1:28" x14ac:dyDescent="0.25">
      <c r="A23" s="6"/>
      <c r="B23" s="7"/>
      <c r="C23" s="8"/>
      <c r="D23" s="10"/>
      <c r="E23" s="13"/>
      <c r="F23" s="13"/>
      <c r="G23" s="12"/>
      <c r="H23" s="12"/>
      <c r="I23" s="13"/>
      <c r="J23" s="12"/>
      <c r="K23" s="13"/>
      <c r="L23" s="12"/>
      <c r="M23" s="12"/>
      <c r="N23" s="17"/>
      <c r="O23" s="9"/>
      <c r="P23" s="12"/>
      <c r="Q23" s="9"/>
      <c r="R23" s="12"/>
      <c r="S23" s="12"/>
      <c r="T23" s="12"/>
      <c r="U23" s="12"/>
      <c r="V23" s="14"/>
      <c r="X23" s="23"/>
      <c r="Y23" s="23"/>
      <c r="Z23" s="23"/>
      <c r="AA23" s="23"/>
      <c r="AB23" s="3"/>
    </row>
    <row r="24" spans="1:28" x14ac:dyDescent="0.25">
      <c r="A24" s="6">
        <v>17</v>
      </c>
      <c r="B24" s="7">
        <f t="shared" ref="B24" si="8">+C24</f>
        <v>45840</v>
      </c>
      <c r="C24" s="8">
        <v>45840</v>
      </c>
      <c r="D24" s="42">
        <v>0.79166666666666663</v>
      </c>
      <c r="E24" s="13"/>
      <c r="F24" s="13" t="str" cm="1">
        <f t="array" aca="1" ref="F24" ca="1">IF((INDIRECT("SCHEDULE!P"&amp;S24))&gt;0,(IF((INDIRECT("SCHEDULE!G"&amp;S24))&gt;(INDIRECT("SCHEDULE!J"&amp;S24)),(INDIRECT("SCHEDULE!F"&amp;S24)),(INDIRECT("SCHEDULE!I"&amp;S24)))),R24)</f>
        <v>Radnor/Wayne</v>
      </c>
      <c r="G24" s="12">
        <v>7</v>
      </c>
      <c r="H24" s="12" t="s">
        <v>13</v>
      </c>
      <c r="I24" s="13" t="str" cm="1">
        <f t="array" aca="1" ref="I24" ca="1">IF((INDIRECT("SCHEDULE!P"&amp;T24))&gt;0,(IF((INDIRECT("SCHEDULE!G"&amp;T24))&lt;(INDIRECT("SCHEDULE!J"&amp;T24)),(INDIRECT("SCHEDULE!F"&amp;T24)),(INDIRECT("SCHEDULE!I"&amp;T24)))),U24)</f>
        <v>Lower Merion</v>
      </c>
      <c r="J24" s="12">
        <v>2</v>
      </c>
      <c r="K24" s="13"/>
      <c r="L24" s="12" t="s">
        <v>74</v>
      </c>
      <c r="M24" s="53" t="s">
        <v>88</v>
      </c>
      <c r="N24" s="17"/>
      <c r="O24" s="9"/>
      <c r="P24" s="12">
        <f>+G24+J24</f>
        <v>9</v>
      </c>
      <c r="Q24" s="9"/>
      <c r="R24" s="12" t="s">
        <v>41</v>
      </c>
      <c r="S24" s="12">
        <v>22</v>
      </c>
      <c r="T24" s="12">
        <v>20</v>
      </c>
      <c r="U24" s="12" t="s">
        <v>39</v>
      </c>
      <c r="V24" s="23"/>
      <c r="X24" s="23"/>
      <c r="Y24" s="23"/>
      <c r="Z24" s="23"/>
      <c r="AA24" s="23"/>
      <c r="AB24" s="3"/>
    </row>
    <row r="25" spans="1:28" x14ac:dyDescent="0.25">
      <c r="A25" s="6"/>
      <c r="B25" s="7"/>
      <c r="C25" s="8"/>
      <c r="D25" s="10"/>
      <c r="E25" s="13"/>
      <c r="F25" s="13"/>
      <c r="G25" s="12"/>
      <c r="H25" s="12"/>
      <c r="I25" s="13"/>
      <c r="J25" s="12"/>
      <c r="K25" s="13"/>
      <c r="L25" s="12"/>
      <c r="M25" s="12"/>
      <c r="N25" s="17"/>
      <c r="O25" s="9"/>
      <c r="P25" s="12"/>
      <c r="Q25" s="9"/>
      <c r="R25" s="12"/>
      <c r="S25" s="12"/>
      <c r="T25" s="12"/>
      <c r="U25" s="12"/>
      <c r="V25" s="23"/>
      <c r="X25" s="23"/>
      <c r="Y25" s="23"/>
      <c r="Z25" s="23"/>
      <c r="AA25" s="23"/>
      <c r="AB25" s="3"/>
    </row>
    <row r="26" spans="1:28" x14ac:dyDescent="0.25">
      <c r="A26" s="6">
        <v>18</v>
      </c>
      <c r="B26" s="20">
        <f t="shared" ref="B26" si="9">+C26</f>
        <v>45843</v>
      </c>
      <c r="C26" s="21">
        <v>45843</v>
      </c>
      <c r="D26" s="60">
        <v>0.8125</v>
      </c>
      <c r="E26" s="13"/>
      <c r="F26" s="13" t="str" cm="1">
        <f t="array" aca="1" ref="F26" ca="1">IF((INDIRECT("SCHEDULE!P"&amp;S26))&gt;0,(IF((INDIRECT("SCHEDULE!G"&amp;S26))&gt;(INDIRECT("SCHEDULE!J"&amp;S26)),(INDIRECT("SCHEDULE!F"&amp;S26)),(INDIRECT("SCHEDULE!I"&amp;S26)))),R26)</f>
        <v>Lower Perk</v>
      </c>
      <c r="G26" s="12">
        <v>3</v>
      </c>
      <c r="H26" s="12" t="s">
        <v>13</v>
      </c>
      <c r="I26" s="13" t="str" cm="1">
        <f t="array" aca="1" ref="I26" ca="1">IF((INDIRECT("SCHEDULE!P"&amp;T26))&gt;0,(IF((INDIRECT("SCHEDULE!G"&amp;T26))&gt;(INDIRECT("SCHEDULE!J"&amp;T26)),(INDIRECT("SCHEDULE!F"&amp;T26)),(INDIRECT("SCHEDULE!I"&amp;T26)))),U26)</f>
        <v>Radnor/Wayne</v>
      </c>
      <c r="J26" s="12">
        <v>4</v>
      </c>
      <c r="K26" s="13"/>
      <c r="L26" s="61" t="s">
        <v>76</v>
      </c>
      <c r="M26" s="53" t="s">
        <v>88</v>
      </c>
      <c r="N26" s="17"/>
      <c r="O26" s="9"/>
      <c r="P26" s="12">
        <f>+G26+J26</f>
        <v>7</v>
      </c>
      <c r="Q26" s="9"/>
      <c r="R26" s="12" t="s">
        <v>40</v>
      </c>
      <c r="S26" s="12">
        <v>20</v>
      </c>
      <c r="T26" s="12">
        <v>24</v>
      </c>
      <c r="U26" s="12" t="s">
        <v>42</v>
      </c>
      <c r="V26" s="23"/>
      <c r="X26" s="23"/>
      <c r="Y26" s="23"/>
      <c r="Z26" s="23"/>
      <c r="AA26" s="23"/>
      <c r="AB26" s="3"/>
    </row>
    <row r="27" spans="1:28" x14ac:dyDescent="0.25">
      <c r="A27" s="6"/>
      <c r="B27" s="7"/>
      <c r="C27" s="8"/>
      <c r="D27" s="10"/>
      <c r="E27" s="13"/>
      <c r="F27" s="17"/>
      <c r="G27" s="12"/>
      <c r="H27" s="12"/>
      <c r="I27" s="17"/>
      <c r="J27" s="12"/>
      <c r="K27" s="13"/>
      <c r="L27" s="12"/>
      <c r="M27" s="12"/>
      <c r="N27" s="17"/>
      <c r="O27" s="9"/>
      <c r="P27" s="12"/>
      <c r="Q27" s="9"/>
      <c r="R27" s="12"/>
      <c r="S27" s="12"/>
      <c r="T27" s="12"/>
      <c r="U27" s="12"/>
      <c r="V27" s="23"/>
      <c r="X27" s="23"/>
      <c r="Y27" s="23"/>
      <c r="Z27" s="23"/>
      <c r="AA27" s="23"/>
      <c r="AB27" s="3"/>
    </row>
    <row r="28" spans="1:28" x14ac:dyDescent="0.25">
      <c r="A28" s="6">
        <v>19</v>
      </c>
      <c r="B28" s="20">
        <f t="shared" ref="B28" si="10">+C28</f>
        <v>45844</v>
      </c>
      <c r="C28" s="21">
        <v>45844</v>
      </c>
      <c r="D28" s="60">
        <v>0.8125</v>
      </c>
      <c r="E28" s="13"/>
      <c r="F28" s="13" t="str" cm="1">
        <f t="array" aca="1" ref="F28" ca="1">IF((INDIRECT("SCHEDULE!P"&amp;S28))&gt;0,(IF((INDIRECT("SCHEDULE!G"&amp;S28))&gt;(INDIRECT("SCHEDULE!J"&amp;S28)),(INDIRECT("SCHEDULE!F"&amp;S28)),(INDIRECT("SCHEDULE!I"&amp;S28)))),R28)</f>
        <v>Radnor/Wayne</v>
      </c>
      <c r="G28" s="12">
        <v>4</v>
      </c>
      <c r="H28" s="12" t="s">
        <v>13</v>
      </c>
      <c r="I28" s="13" t="str" cm="1">
        <f t="array" aca="1" ref="I28" ca="1">IF((INDIRECT("SCHEDULE!P"&amp;T28))&gt;0,(IF((INDIRECT("SCHEDULE!G"&amp;T28))&lt;(INDIRECT("SCHEDULE!J"&amp;T28)),(INDIRECT("SCHEDULE!F"&amp;T28)),"Not Necessary")),U28)</f>
        <v>Lower Perk</v>
      </c>
      <c r="J28" s="12">
        <v>1</v>
      </c>
      <c r="K28" s="13"/>
      <c r="L28" s="61" t="s">
        <v>76</v>
      </c>
      <c r="M28" s="53" t="s">
        <v>88</v>
      </c>
      <c r="N28" s="17"/>
      <c r="O28" s="9"/>
      <c r="P28" s="12">
        <f>+G28+J28</f>
        <v>5</v>
      </c>
      <c r="Q28" s="9"/>
      <c r="R28" s="12" t="s">
        <v>43</v>
      </c>
      <c r="S28" s="12">
        <v>26</v>
      </c>
      <c r="T28" s="12">
        <v>26</v>
      </c>
      <c r="U28" s="12" t="s">
        <v>44</v>
      </c>
      <c r="V28" s="23"/>
      <c r="X28" s="23"/>
      <c r="Y28" s="23"/>
      <c r="Z28" s="23"/>
      <c r="AA28" s="23"/>
      <c r="AB28" s="3"/>
    </row>
    <row r="29" spans="1:28" x14ac:dyDescent="0.25">
      <c r="A29" s="6"/>
      <c r="B29" s="7"/>
      <c r="C29" s="8"/>
      <c r="D29" s="10"/>
      <c r="E29" s="13"/>
      <c r="F29" s="17"/>
      <c r="G29" s="12"/>
      <c r="H29" s="12"/>
      <c r="I29" s="17"/>
      <c r="J29" s="12"/>
      <c r="K29" s="13"/>
      <c r="L29" s="12"/>
      <c r="M29" s="12"/>
      <c r="N29" s="17"/>
      <c r="O29" s="9"/>
      <c r="P29" s="12"/>
      <c r="Q29" s="9"/>
      <c r="R29" s="12"/>
      <c r="S29" s="12"/>
      <c r="T29" s="12"/>
      <c r="U29" s="12"/>
      <c r="V29" s="23"/>
      <c r="X29" s="23"/>
      <c r="Y29" s="23"/>
      <c r="Z29" s="23"/>
      <c r="AA29" s="23"/>
      <c r="AB29" s="3"/>
    </row>
    <row r="30" spans="1:28" x14ac:dyDescent="0.25">
      <c r="A30" s="62" t="s">
        <v>28</v>
      </c>
      <c r="B30" s="62"/>
      <c r="C30" s="8"/>
      <c r="D30" s="10"/>
      <c r="E30" s="13"/>
      <c r="F30" s="17" t="str" cm="1">
        <f t="array" aca="1" ref="F30" ca="1">IF(INDIRECT("SCHEDULE!P"&amp;S30)&gt;0,IF(INDIRECT("SCHEDULE!G"&amp;S30)&gt;INDIRECT("SCHEDULE!J"&amp;S30),INDIRECT("SCHEDULE!F"&amp;S30),INDIRECT("SCHEDULE!I"&amp;S30)),IF(INDIRECT("SCHEDULE!P"&amp;T30)&gt;0,IF(INDIRECT("SCHEDULE!G"&amp;T30)&gt;INDIRECT("SCHEDULE!J"&amp;T30),INDIRECT("SCHEDULE!F"&amp;T30),R30),R30))</f>
        <v>Radnor/Wayne</v>
      </c>
      <c r="G30" s="12"/>
      <c r="H30" s="12"/>
      <c r="I30" s="17"/>
      <c r="J30" s="12"/>
      <c r="K30" s="13"/>
      <c r="L30" s="12"/>
      <c r="M30" s="12"/>
      <c r="N30" s="17"/>
      <c r="O30" s="9"/>
      <c r="P30" s="12"/>
      <c r="Q30" s="9"/>
      <c r="R30" s="12" t="s">
        <v>28</v>
      </c>
      <c r="S30" s="12">
        <v>28</v>
      </c>
      <c r="T30" s="12">
        <v>26</v>
      </c>
      <c r="U30" s="12"/>
      <c r="V30" s="23"/>
      <c r="AB30" s="3"/>
    </row>
    <row r="33" ht="15" customHeight="1" x14ac:dyDescent="0.25"/>
  </sheetData>
  <mergeCells count="3">
    <mergeCell ref="A30:B30"/>
    <mergeCell ref="F1:J1"/>
    <mergeCell ref="R1:U1"/>
  </mergeCells>
  <pageMargins left="0.25" right="0.25" top="0.5" bottom="0.5" header="0.25" footer="0.25"/>
  <pageSetup scale="61" orientation="landscape" r:id="rId1"/>
  <headerFooter>
    <oddHeader>&amp;F</oddHeader>
    <oddFooter>&amp;L&amp;A&amp;C&amp;D&amp;RPage &amp;P</oddFooter>
  </headerFooter>
  <ignoredErrors>
    <ignoredError sqref="F1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72631-87CF-4254-911A-A530ECE390F3}">
  <sheetPr>
    <pageSetUpPr fitToPage="1"/>
  </sheetPr>
  <dimension ref="A1:H38"/>
  <sheetViews>
    <sheetView tabSelected="1" zoomScale="90" zoomScaleNormal="90" workbookViewId="0">
      <selection activeCell="H27" sqref="H27"/>
    </sheetView>
  </sheetViews>
  <sheetFormatPr defaultColWidth="9.140625" defaultRowHeight="12.75" x14ac:dyDescent="0.25"/>
  <cols>
    <col min="1" max="2" width="22.5703125" style="28" customWidth="1"/>
    <col min="3" max="5" width="22.5703125" style="29" customWidth="1"/>
    <col min="6" max="8" width="22.5703125" style="28" customWidth="1"/>
    <col min="9" max="16" width="25.7109375" style="28" customWidth="1"/>
    <col min="17" max="16384" width="9.140625" style="28"/>
  </cols>
  <sheetData>
    <row r="1" spans="1:8" ht="13.5" thickBot="1" x14ac:dyDescent="0.3"/>
    <row r="2" spans="1:8" ht="12.95" customHeight="1" thickBot="1" x14ac:dyDescent="0.3">
      <c r="F2" s="51" t="s">
        <v>50</v>
      </c>
      <c r="G2" s="71" t="s">
        <v>90</v>
      </c>
      <c r="H2" s="29"/>
    </row>
    <row r="3" spans="1:8" ht="12.95" customHeight="1" thickBot="1" x14ac:dyDescent="0.3">
      <c r="A3" s="29"/>
      <c r="B3" s="38" t="str">
        <f>IF((SCHEDULE!$P5)&lt;1,SCHEDULE!$F5,_xlfn.CONCAT(SCHEDULE!$F5," - ", SCHEDULE!$G5))</f>
        <v>Lower Perk - 5</v>
      </c>
      <c r="F3" s="52" t="s">
        <v>93</v>
      </c>
      <c r="G3" s="72"/>
      <c r="H3" s="29"/>
    </row>
    <row r="4" spans="1:8" ht="12.95" customHeight="1" x14ac:dyDescent="0.25">
      <c r="A4" s="29"/>
      <c r="B4" s="64" t="str">
        <f>_xlfn.CONCAT("(",SCHEDULE!$A5,") - ",TEXT(SCHEDULE!$C5,"DDD M/D")," ",TEXT(SCHEDULE!$D5,"H:MM AM/PM"),"
 (",SCHEDULE!$L5,")")</f>
        <v>(3) - Sun 6/22 3:00 PM
 (D/S-Clarke Field)</v>
      </c>
      <c r="C4" s="38" t="str">
        <f ca="1">IF((SCHEDULE!$P15)&lt;1,SCHEDULE!$F15,_xlfn.CONCAT(SCHEDULE!$F15," - ", SCHEDULE!$G15))</f>
        <v>Lower Perk - 6</v>
      </c>
      <c r="F4" s="29"/>
      <c r="G4" s="29"/>
      <c r="H4" s="29"/>
    </row>
    <row r="5" spans="1:8" ht="12.95" customHeight="1" x14ac:dyDescent="0.25">
      <c r="A5" s="29"/>
      <c r="B5" s="65"/>
      <c r="C5" s="66" t="str">
        <f>_xlfn.CONCAT("(",SCHEDULE!$A15,") - ",TEXT(SCHEDULE!$C15,"DDD M/D")," ",TEXT(SCHEDULE!$D15,"H:MM AM/PM"),"
 (",SCHEDULE!$L15,")")</f>
        <v>(11) - Fri 6/27 6:00 PM
 (UP-MacFarlan Park)</v>
      </c>
      <c r="F5" s="29"/>
      <c r="G5" s="29"/>
      <c r="H5" s="29"/>
    </row>
    <row r="6" spans="1:8" ht="12.95" customHeight="1" x14ac:dyDescent="0.25">
      <c r="A6" s="29"/>
      <c r="B6" s="38" t="str">
        <f>IF((SCHEDULE!$P5)&lt;1,SCHEDULE!$I5,_xlfn.CONCAT(SCHEDULE!$I5," - ", SCHEDULE!$J5))</f>
        <v>Chester Valley - 3</v>
      </c>
      <c r="C6" s="67"/>
      <c r="F6" s="29"/>
      <c r="G6" s="29"/>
      <c r="H6" s="29"/>
    </row>
    <row r="7" spans="1:8" ht="12.95" customHeight="1" x14ac:dyDescent="0.25">
      <c r="A7" s="38" t="str">
        <f>IF((SCHEDULE!$P2)&lt;1,SCHEDULE!$F2,_xlfn.CONCAT(SCHEDULE!$F2," - ", SCHEDULE!$G2))</f>
        <v>Pottsgrove-Pottstown - 0</v>
      </c>
      <c r="B7" s="29"/>
      <c r="C7" s="67"/>
      <c r="D7" s="39"/>
      <c r="E7" s="38" t="str">
        <f ca="1">IF((SCHEDULE!$P20)&lt;1,SCHEDULE!$F20,_xlfn.CONCAT(SCHEDULE!$F20," - ", SCHEDULE!$G20))</f>
        <v>Lower Perk - 8</v>
      </c>
      <c r="F7" s="29"/>
      <c r="G7" s="29"/>
      <c r="H7" s="29"/>
    </row>
    <row r="8" spans="1:8" ht="12.95" customHeight="1" x14ac:dyDescent="0.25">
      <c r="A8" s="64" t="str">
        <f>_xlfn.CONCAT("(",SCHEDULE!$A2,") - ",TEXT(SCHEDULE!$C2,"DDD M/D")," ",TEXT(SCHEDULE!$D2,"H:MM AM/PM"),"
 (",SCHEDULE!$L2,")")</f>
        <v>(1) - Sat 6/21 1:00 PM
 (Lower Merion)</v>
      </c>
      <c r="B8" s="38" t="str">
        <f ca="1">IF((SCHEDULE!$P7)&lt;1,SCHEDULE!$F7,_xlfn.CONCAT(SCHEDULE!$F7," - ", SCHEDULE!$G7))</f>
        <v>Radnor/Wayne - 3</v>
      </c>
      <c r="C8" s="67"/>
      <c r="D8" s="73" t="str">
        <f>_xlfn.CONCAT("(",SCHEDULE!$A20,") - ",TEXT(SCHEDULE!$C20,"DDD M/D")," ",TEXT(SCHEDULE!$D20,"H:MM AM/PM"),"
 (",SCHEDULE!$L20,")")</f>
        <v>(15) - Sun 6/29 5:30 PM
 (LP-Palmer Park)</v>
      </c>
      <c r="E8" s="66"/>
      <c r="F8" s="29"/>
      <c r="G8" s="29"/>
      <c r="H8" s="29"/>
    </row>
    <row r="9" spans="1:8" ht="12.95" customHeight="1" x14ac:dyDescent="0.25">
      <c r="A9" s="65"/>
      <c r="B9" s="64" t="str">
        <f>_xlfn.CONCAT("(",SCHEDULE!$A7,") - ",TEXT(SCHEDULE!$C7,"DDD M/D")," ",TEXT(SCHEDULE!$D7,"H:MM AM/PM"),"
 (",SCHEDULE!$L7,")")</f>
        <v>(5) - Sun 6/22 2:00 PM
 (GV-King Road)</v>
      </c>
      <c r="C9" s="68"/>
      <c r="D9" s="74"/>
      <c r="E9" s="69"/>
      <c r="F9" s="29"/>
      <c r="G9" s="29"/>
      <c r="H9" s="29"/>
    </row>
    <row r="10" spans="1:8" ht="12.95" customHeight="1" x14ac:dyDescent="0.25">
      <c r="A10" s="38" t="str">
        <f>IF((SCHEDULE!$P2)&lt;1,SCHEDULE!$I2,_xlfn.CONCAT(SCHEDULE!$I2," - ", SCHEDULE!$J2))</f>
        <v>Radnor/Wayne - 14</v>
      </c>
      <c r="B10" s="65"/>
      <c r="C10" s="38" t="str">
        <f ca="1">IF((SCHEDULE!$P15)&lt;1,SCHEDULE!$I15,_xlfn.CONCAT(SCHEDULE!$I15," - ", SCHEDULE!$J15))</f>
        <v>Upper Providence - 3</v>
      </c>
      <c r="D10" s="74"/>
      <c r="E10" s="69"/>
      <c r="F10" s="29"/>
      <c r="G10" s="29"/>
      <c r="H10" s="29"/>
    </row>
    <row r="11" spans="1:8" ht="12.95" customHeight="1" x14ac:dyDescent="0.25">
      <c r="A11" s="29"/>
      <c r="B11" s="38" t="str">
        <f>IF((SCHEDULE!$P7)&lt;1,SCHEDULE!$I7,_xlfn.CONCAT(SCHEDULE!$I7," - ", SCHEDULE!$J7))</f>
        <v>Upper Providence - 6</v>
      </c>
      <c r="D11" s="74"/>
      <c r="E11" s="69"/>
      <c r="F11" s="29"/>
      <c r="G11" s="29"/>
      <c r="H11" s="29"/>
    </row>
    <row r="12" spans="1:8" ht="12.95" customHeight="1" x14ac:dyDescent="0.25">
      <c r="A12" s="29"/>
      <c r="B12" s="29"/>
      <c r="D12" s="74"/>
      <c r="E12" s="69"/>
      <c r="F12" s="29"/>
      <c r="G12" s="29"/>
      <c r="H12" s="29"/>
    </row>
    <row r="13" spans="1:8" ht="12.95" customHeight="1" x14ac:dyDescent="0.25">
      <c r="A13" s="38" t="str">
        <f>IF((SCHEDULE!$P3)&lt;1,SCHEDULE!$F3,_xlfn.CONCAT(SCHEDULE!$F3," - ", SCHEDULE!$G3))</f>
        <v>Lower Merion - 9</v>
      </c>
      <c r="B13" s="29"/>
      <c r="D13" s="74"/>
      <c r="E13" s="69"/>
      <c r="F13" s="38" t="str">
        <f ca="1">IF((SCHEDULE!$P26)&lt;1,SCHEDULE!$F26,_xlfn.CONCAT(SCHEDULE!$F26," - ", SCHEDULE!$G26))</f>
        <v>Lower Perk - 3</v>
      </c>
      <c r="G13" s="29"/>
      <c r="H13" s="29"/>
    </row>
    <row r="14" spans="1:8" ht="12.95" customHeight="1" x14ac:dyDescent="0.25">
      <c r="A14" s="64" t="str">
        <f>_xlfn.CONCAT("(",SCHEDULE!$A3,") - ",TEXT(SCHEDULE!$C3,"DDD M/D")," ",TEXT(SCHEDULE!$D3,"H:MM AM/PM"),"
 (",SCHEDULE!$L3,")")</f>
        <v>(2) - Sat 6/21 11:00 AM
 (Lower Merion)</v>
      </c>
      <c r="B14" s="38" t="str">
        <f ca="1">IF((SCHEDULE!$P8)&lt;1,SCHEDULE!$F8,_xlfn.CONCAT(SCHEDULE!$F8," - ", SCHEDULE!$G8))</f>
        <v>Lower Merion - 4</v>
      </c>
      <c r="D14" s="74"/>
      <c r="E14" s="69"/>
      <c r="F14" s="66" t="str">
        <f>_xlfn.CONCAT("(",SCHEDULE!$A26,") - ",TEXT(SCHEDULE!$C26,"DDD M/D")," ",TEXT(SCHEDULE!$D26,"H:MM AM/PM"),"
 (",SCHEDULE!$L26,")")</f>
        <v>(18) - Sat 7/5 7:30 PM
 (LP-Palmer Park)</v>
      </c>
      <c r="G14" s="29"/>
      <c r="H14" s="29"/>
    </row>
    <row r="15" spans="1:8" ht="12.95" customHeight="1" x14ac:dyDescent="0.25">
      <c r="A15" s="65"/>
      <c r="B15" s="64" t="str">
        <f>_xlfn.CONCAT("(",SCHEDULE!$A8,") - ",TEXT(SCHEDULE!$C8,"DDD M/D")," ",TEXT(SCHEDULE!$D8,"H:MM AM/PM"),"
 (",SCHEDULE!$L8,")")</f>
        <v>(6) - Sun 6/22 12:00 PM
 (GV-King Road)</v>
      </c>
      <c r="C15" s="38" t="str">
        <f ca="1">IF((SCHEDULE!$P16)&lt;1,SCHEDULE!$F16,_xlfn.CONCAT(SCHEDULE!$F16," - ", SCHEDULE!$G16))</f>
        <v>Lower Merion - 5</v>
      </c>
      <c r="D15" s="74"/>
      <c r="E15" s="69"/>
      <c r="F15" s="76"/>
      <c r="G15" s="29"/>
      <c r="H15" s="29"/>
    </row>
    <row r="16" spans="1:8" ht="12.95" customHeight="1" x14ac:dyDescent="0.25">
      <c r="A16" s="38" t="str">
        <f>IF((SCHEDULE!$P3)&lt;1,SCHEDULE!$I3,_xlfn.CONCAT(SCHEDULE!$I3," - ", SCHEDULE!$J3))</f>
        <v>Berwyn/Paoli - 8</v>
      </c>
      <c r="B16" s="65"/>
      <c r="C16" s="66" t="str">
        <f>_xlfn.CONCAT("(",SCHEDULE!$A16,") - ",TEXT(SCHEDULE!$C16,"DDD M/D")," ",TEXT(SCHEDULE!$D16,"H:MM AM/PM"),"
 (",SCHEDULE!$L16,")")</f>
        <v>(12) - Fri 6/27 7:30 PM
 (UP-MacFarlan Park)</v>
      </c>
      <c r="D16" s="74"/>
      <c r="E16" s="69"/>
      <c r="F16" s="76"/>
      <c r="G16" s="29"/>
      <c r="H16" s="29"/>
    </row>
    <row r="17" spans="1:8" ht="12.95" customHeight="1" x14ac:dyDescent="0.25">
      <c r="A17" s="29"/>
      <c r="B17" s="38" t="str">
        <f>IF((SCHEDULE!$P8)&lt;1,SCHEDULE!$I8,_xlfn.CONCAT(SCHEDULE!$I8," - ", SCHEDULE!$J8))</f>
        <v>GVE - 3</v>
      </c>
      <c r="C17" s="67"/>
      <c r="D17" s="74"/>
      <c r="E17" s="69"/>
      <c r="F17" s="76"/>
      <c r="G17" s="29"/>
      <c r="H17" s="29"/>
    </row>
    <row r="18" spans="1:8" ht="12.95" customHeight="1" x14ac:dyDescent="0.25">
      <c r="A18" s="29"/>
      <c r="B18" s="29"/>
      <c r="C18" s="67"/>
      <c r="D18" s="75"/>
      <c r="E18" s="70"/>
      <c r="F18" s="76"/>
      <c r="G18" s="29"/>
      <c r="H18" s="29"/>
    </row>
    <row r="19" spans="1:8" ht="12.95" customHeight="1" x14ac:dyDescent="0.25">
      <c r="A19" s="29"/>
      <c r="B19" s="38" t="str">
        <f>IF((SCHEDULE!$P6)&lt;1,SCHEDULE!$F6,_xlfn.CONCAT(SCHEDULE!$F6," - ", SCHEDULE!$G6))</f>
        <v>Devon/Strafford - 7</v>
      </c>
      <c r="C19" s="67"/>
      <c r="E19" s="38" t="str">
        <f ca="1">IF((SCHEDULE!$P20)&lt;1,SCHEDULE!$I20,_xlfn.CONCAT(SCHEDULE!$I20," - ", SCHEDULE!$J20))</f>
        <v>Lower Merion - 1</v>
      </c>
      <c r="F19" s="76"/>
      <c r="G19" s="38" t="str">
        <f ca="1">IF((SCHEDULE!$P28)&lt;1,SCHEDULE!$F28,_xlfn.CONCAT(SCHEDULE!$F28," - ", SCHEDULE!$G28))</f>
        <v>Radnor/Wayne - 4</v>
      </c>
      <c r="H19" s="29"/>
    </row>
    <row r="20" spans="1:8" x14ac:dyDescent="0.25">
      <c r="B20" s="64" t="str">
        <f>_xlfn.CONCAT("(",SCHEDULE!$A6,") - ",TEXT(SCHEDULE!$C6,"DDD M/D")," ",TEXT(SCHEDULE!$D6,"H:MM AM/PM"),"
 (",SCHEDULE!$L6,")")</f>
        <v>(4) - Sun 6/22 1:00 PM
 (D/S-Clarke Field)</v>
      </c>
      <c r="C20" s="68"/>
      <c r="F20" s="76"/>
      <c r="G20" s="66" t="str">
        <f>_xlfn.CONCAT("(",SCHEDULE!$A28,") - ",TEXT(SCHEDULE!$C28,"DDD M/D")," ",TEXT(SCHEDULE!$D28,"H:MM AM/PM"),"
 (",SCHEDULE!$L28,")")</f>
        <v>(19) - Sun 7/6 7:30 PM
 (LP-Palmer Park)</v>
      </c>
      <c r="H20" s="29"/>
    </row>
    <row r="21" spans="1:8" x14ac:dyDescent="0.25">
      <c r="B21" s="65"/>
      <c r="C21" s="38" t="str">
        <f ca="1">IF((SCHEDULE!$P16)&lt;1,SCHEDULE!$I16,_xlfn.CONCAT(SCHEDULE!$I16," - ", SCHEDULE!$J16))</f>
        <v>Devon/Strafford - 2</v>
      </c>
      <c r="F21" s="76"/>
      <c r="G21" s="67"/>
      <c r="H21" s="29"/>
    </row>
    <row r="22" spans="1:8" ht="13.15" customHeight="1" x14ac:dyDescent="0.25">
      <c r="A22" s="29"/>
      <c r="B22" s="38" t="str">
        <f>IF((SCHEDULE!$P6)&lt;1,SCHEDULE!$I6,_xlfn.CONCAT(SCHEDULE!$I6," - ", SCHEDULE!$J6))</f>
        <v>Coventry - 4</v>
      </c>
      <c r="F22" s="76"/>
      <c r="G22" s="67"/>
      <c r="H22" s="29"/>
    </row>
    <row r="23" spans="1:8" ht="13.15" customHeight="1" x14ac:dyDescent="0.25">
      <c r="A23" s="29"/>
      <c r="B23" s="38"/>
      <c r="F23" s="76"/>
      <c r="G23" s="67"/>
      <c r="H23" s="29"/>
    </row>
    <row r="24" spans="1:8" x14ac:dyDescent="0.25">
      <c r="A24" s="29"/>
      <c r="B24" s="29"/>
      <c r="E24" s="56" t="str">
        <f ca="1">IF((SCHEDULE!$P24)&lt;1,SCHEDULE!$I24,_xlfn.CONCAT(SCHEDULE!$I24," - ", SCHEDULE!$J24))</f>
        <v>Lower Merion - 2</v>
      </c>
      <c r="F24" s="76"/>
      <c r="G24" s="67"/>
      <c r="H24" s="29"/>
    </row>
    <row r="25" spans="1:8" ht="21" customHeight="1" x14ac:dyDescent="0.25">
      <c r="A25" s="29"/>
      <c r="B25" s="29"/>
      <c r="E25" s="66" t="str">
        <f>_xlfn.CONCAT("(",SCHEDULE!$A24,") - ",TEXT(SCHEDULE!$C24,"DDD M/D")," ",TEXT(SCHEDULE!$D24,"H:MM AM/PM"),"
 (",SCHEDULE!$L24,")")</f>
        <v>(17) - Wed 7/2 7:00 PM
 (COV-Wampler Complex)</v>
      </c>
      <c r="F25" s="76"/>
      <c r="G25" s="67"/>
      <c r="H25" s="29"/>
    </row>
    <row r="26" spans="1:8" x14ac:dyDescent="0.25">
      <c r="A26" s="38" t="str">
        <f ca="1">IF((SCHEDULE!$P10)&lt;1,SCHEDULE!$F10,_xlfn.CONCAT(SCHEDULE!$F10," - ", SCHEDULE!$G10))</f>
        <v>Berwyn/Paoli - 7</v>
      </c>
      <c r="B26" s="29"/>
      <c r="C26" s="56" t="str">
        <f ca="1">IF((SCHEDULE!$P19)&lt;1,SCHEDULE!$F19,_xlfn.CONCAT(SCHEDULE!$F19," - ", SCHEDULE!$G19))</f>
        <v>Devon/Strafford - 2</v>
      </c>
      <c r="E26" s="69"/>
      <c r="F26" s="76"/>
      <c r="G26" s="67"/>
      <c r="H26" s="29"/>
    </row>
    <row r="27" spans="1:8" x14ac:dyDescent="0.25">
      <c r="A27" s="64" t="str">
        <f>_xlfn.CONCAT("(",SCHEDULE!$A10,") - ",TEXT(SCHEDULE!$C10,"DDD M/D")," ",TEXT(SCHEDULE!$D10,"H:MM AM/PM"),"
 (",SCHEDULE!$L10,")")</f>
        <v>(7) - Tue 6/24 8:00 PM
 (PGP-Novak Field)</v>
      </c>
      <c r="B27" s="56" t="str">
        <f ca="1">IF((SCHEDULE!$P13)&lt;1,SCHEDULE!$F13,_xlfn.CONCAT(SCHEDULE!$F13," - ", SCHEDULE!$G13))</f>
        <v>Berwyn/Paoli - 0</v>
      </c>
      <c r="C27" s="64" t="str">
        <f>_xlfn.CONCAT("(",SCHEDULE!$A19,") - ",TEXT(SCHEDULE!$C19,"DDD M/D")," ",TEXT(SCHEDULE!$D19,"H:MM AM/PM"),"
 (",SCHEDULE!$L19,")")</f>
        <v>(14) - Sat 6/28 12:00 PM
 (CV-Monument Park)</v>
      </c>
      <c r="D27" s="38" t="str">
        <f ca="1">IF((SCHEDULE!$P22)&lt;1,SCHEDULE!$I22,_xlfn.CONCAT(SCHEDULE!$I22," - ", SCHEDULE!$J22))</f>
        <v>Radnor/Wayne - 6</v>
      </c>
      <c r="E27" s="69"/>
      <c r="F27" s="77"/>
      <c r="G27" s="67"/>
      <c r="H27" s="40" t="str">
        <f ca="1">+SCHEDULE!F30</f>
        <v>Radnor/Wayne</v>
      </c>
    </row>
    <row r="28" spans="1:8" x14ac:dyDescent="0.25">
      <c r="A28" s="65"/>
      <c r="B28" s="64" t="str">
        <f>_xlfn.CONCAT("(",SCHEDULE!$A13,") - ",TEXT(SCHEDULE!$C13,"DDD M/D")," ",TEXT(SCHEDULE!$D13,"H:MM AM/PM"),"
 (",SCHEDULE!$L13,")")</f>
        <v>(9) - Wed 6/25 6:00 PM
 (BP-Field of Dreams)</v>
      </c>
      <c r="C28" s="65"/>
      <c r="D28" s="66" t="str">
        <f>_xlfn.CONCAT("(",SCHEDULE!$A22,") - ",TEXT(SCHEDULE!$C22,"DDD M/D")," ",TEXT(SCHEDULE!$D22,"H:MM AM/PM"),"
 (",SCHEDULE!$L22,")")</f>
        <v>(16) - Sun 6/29 3:30 PM
 (LP-Palmer Park)</v>
      </c>
      <c r="E28" s="69"/>
      <c r="F28" s="38" t="str">
        <f ca="1">IF((SCHEDULE!$P26)&lt;1,SCHEDULE!$I26,_xlfn.CONCAT(SCHEDULE!$I26," - ", SCHEDULE!$J26))</f>
        <v>Radnor/Wayne - 4</v>
      </c>
      <c r="G28" s="67"/>
      <c r="H28" s="41" t="str">
        <f ca="1">IF(H27="CHAMPION","","CHAMPION")</f>
        <v>CHAMPION</v>
      </c>
    </row>
    <row r="29" spans="1:8" x14ac:dyDescent="0.25">
      <c r="A29" s="56" t="str">
        <f ca="1">IF((SCHEDULE!$P10)&lt;1,SCHEDULE!$I10,_xlfn.CONCAT(SCHEDULE!$I10," - ", SCHEDULE!$J10))</f>
        <v>Chester Valley - 6</v>
      </c>
      <c r="B29" s="65"/>
      <c r="C29" s="38" t="str">
        <f ca="1">IF((SCHEDULE!$P19)&lt;1,SCHEDULE!$I19,_xlfn.CONCAT(SCHEDULE!$I19," - ", SCHEDULE!$J19))</f>
        <v>Radnor/Wayne - 7</v>
      </c>
      <c r="D29" s="67"/>
      <c r="E29" s="69"/>
      <c r="F29" s="29"/>
      <c r="G29" s="67"/>
      <c r="H29" s="29"/>
    </row>
    <row r="30" spans="1:8" x14ac:dyDescent="0.25">
      <c r="A30" s="29"/>
      <c r="B30" s="38" t="str">
        <f ca="1">IF((SCHEDULE!$P13)&lt;1,SCHEDULE!$I13,_xlfn.CONCAT(SCHEDULE!$I13," - ", SCHEDULE!$J13))</f>
        <v>Radnor/Wayne - 8</v>
      </c>
      <c r="D30" s="67"/>
      <c r="E30" s="69"/>
      <c r="F30" s="29"/>
      <c r="G30" s="67"/>
      <c r="H30" s="29"/>
    </row>
    <row r="31" spans="1:8" x14ac:dyDescent="0.25">
      <c r="A31" s="29"/>
      <c r="B31" s="29"/>
      <c r="D31" s="67"/>
      <c r="E31" s="70"/>
      <c r="F31" s="29"/>
      <c r="G31" s="67"/>
      <c r="H31" s="29"/>
    </row>
    <row r="32" spans="1:8" x14ac:dyDescent="0.25">
      <c r="A32" s="29"/>
      <c r="B32" s="38" t="str">
        <f ca="1">IF((SCHEDULE!$P14)&lt;1,SCHEDULE!$I14,_xlfn.CONCAT(SCHEDULE!$I14," - ", SCHEDULE!$J14))</f>
        <v>GVE - 13</v>
      </c>
      <c r="D32" s="67"/>
      <c r="E32" s="38" t="str">
        <f ca="1">IF((SCHEDULE!$P24)&lt;1,SCHEDULE!$F24,_xlfn.CONCAT(SCHEDULE!$F24," - ", SCHEDULE!$G24))</f>
        <v>Radnor/Wayne - 7</v>
      </c>
      <c r="F32" s="29"/>
      <c r="G32" s="67"/>
      <c r="H32" s="29"/>
    </row>
    <row r="33" spans="1:8" x14ac:dyDescent="0.25">
      <c r="A33" s="56" t="str">
        <f ca="1">IF((SCHEDULE!$P11)&lt;1,SCHEDULE!$F11,_xlfn.CONCAT(SCHEDULE!$F11," - ", SCHEDULE!$G11))</f>
        <v>Pottsgrove-Pottstown - 2</v>
      </c>
      <c r="B33" s="64" t="str">
        <f>_xlfn.CONCAT("(",SCHEDULE!$A14,") - ",TEXT(SCHEDULE!$C14,"DDD M/D")," ",TEXT(SCHEDULE!$D14,"H:MM AM/PM"),"
 (",SCHEDULE!$L14,")")</f>
        <v>(10) - Wed 6/25 7:00 PM
 (COV-Wampler Complex)</v>
      </c>
      <c r="C33" s="38" t="str">
        <f ca="1">IF((SCHEDULE!$P18)&lt;1,SCHEDULE!$F18,_xlfn.CONCAT(SCHEDULE!$F18," - ", SCHEDULE!$G18))</f>
        <v>GVE - 2</v>
      </c>
      <c r="D33" s="67"/>
      <c r="F33" s="29"/>
      <c r="G33" s="68"/>
      <c r="H33" s="29"/>
    </row>
    <row r="34" spans="1:8" x14ac:dyDescent="0.25">
      <c r="A34" s="64" t="str">
        <f>_xlfn.CONCAT("(",SCHEDULE!$A11,") - ",TEXT(SCHEDULE!$C11,"DDD M/D")," ",TEXT(SCHEDULE!$D11,"H:MM AM/PM"),"
 (",SCHEDULE!$L11,")")</f>
        <v>(8) - Tue 6/24 6:00 PM
 (PGP-Novak Field)</v>
      </c>
      <c r="B34" s="65"/>
      <c r="C34" s="64" t="str">
        <f>_xlfn.CONCAT("(",SCHEDULE!$A18,") - ",TEXT(SCHEDULE!$C18,"DDD M/D")," ",TEXT(SCHEDULE!$D18,"H:MM AM/PM"),"
 (",SCHEDULE!$L18,")")</f>
        <v>(13) - Sat 6/28 10:00 AM
 (CV-Monument Park)</v>
      </c>
      <c r="D34" s="68"/>
      <c r="F34" s="29"/>
      <c r="G34" s="38" t="str">
        <f ca="1">IF((SCHEDULE!$P28)&lt;1,SCHEDULE!$I28,_xlfn.CONCAT(SCHEDULE!$I28," - ", SCHEDULE!$J28))</f>
        <v>Lower Perk - 1</v>
      </c>
      <c r="H34" s="29"/>
    </row>
    <row r="35" spans="1:8" x14ac:dyDescent="0.25">
      <c r="A35" s="65"/>
      <c r="B35" s="56" t="str">
        <f ca="1">IF((SCHEDULE!$P14)&lt;1,SCHEDULE!$F14,_xlfn.CONCAT(SCHEDULE!$F14," - ", SCHEDULE!$G14))</f>
        <v>Coventry - 2</v>
      </c>
      <c r="C35" s="65"/>
      <c r="D35" s="56" t="str">
        <f ca="1">IF((SCHEDULE!$P22)&lt;1,SCHEDULE!$F22,_xlfn.CONCAT(SCHEDULE!$F22," - ", SCHEDULE!$G22))</f>
        <v>GVE - 0</v>
      </c>
      <c r="F35" s="29"/>
      <c r="G35" s="29"/>
      <c r="H35" s="29"/>
    </row>
    <row r="36" spans="1:8" x14ac:dyDescent="0.25">
      <c r="A36" s="38" t="str">
        <f ca="1">IF((SCHEDULE!$P11)&lt;1,SCHEDULE!$I11,_xlfn.CONCAT(SCHEDULE!$I11," - ", SCHEDULE!$J11))</f>
        <v>Coventry - 16</v>
      </c>
      <c r="B36" s="29"/>
      <c r="C36" s="56" t="str">
        <f ca="1">IF((SCHEDULE!$P18)&lt;1,SCHEDULE!$I18,_xlfn.CONCAT(SCHEDULE!$I18," - ", SCHEDULE!$J18))</f>
        <v>Upper Providence - 0</v>
      </c>
      <c r="F36" s="29"/>
      <c r="G36" s="29"/>
      <c r="H36" s="29"/>
    </row>
    <row r="37" spans="1:8" x14ac:dyDescent="0.25">
      <c r="A37" s="29"/>
      <c r="B37" s="29"/>
      <c r="F37" s="29"/>
      <c r="G37" s="29"/>
      <c r="H37" s="29"/>
    </row>
    <row r="38" spans="1:8" x14ac:dyDescent="0.25">
      <c r="A38" s="29"/>
      <c r="B38" s="29"/>
      <c r="F38" s="29"/>
      <c r="G38" s="29"/>
      <c r="H38" s="29"/>
    </row>
  </sheetData>
  <mergeCells count="20">
    <mergeCell ref="G2:G3"/>
    <mergeCell ref="D28:D34"/>
    <mergeCell ref="B33:B34"/>
    <mergeCell ref="A34:A35"/>
    <mergeCell ref="C34:C35"/>
    <mergeCell ref="B4:B5"/>
    <mergeCell ref="C5:C9"/>
    <mergeCell ref="A8:A9"/>
    <mergeCell ref="B9:B10"/>
    <mergeCell ref="D8:E18"/>
    <mergeCell ref="A14:A15"/>
    <mergeCell ref="F14:F27"/>
    <mergeCell ref="B15:B16"/>
    <mergeCell ref="C16:C20"/>
    <mergeCell ref="B20:B21"/>
    <mergeCell ref="G20:G33"/>
    <mergeCell ref="A27:A28"/>
    <mergeCell ref="C27:C28"/>
    <mergeCell ref="B28:B29"/>
    <mergeCell ref="E25:E31"/>
  </mergeCells>
  <pageMargins left="0.25" right="0.25" top="0.5" bottom="0.5" header="0.25" footer="0.25"/>
  <pageSetup scale="74" orientation="landscape" r:id="rId1"/>
  <headerFooter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E7D12-F427-4C32-B0BA-6AA66308D923}">
  <dimension ref="A1:R41"/>
  <sheetViews>
    <sheetView zoomScale="80" zoomScaleNormal="80" workbookViewId="0">
      <selection activeCell="D25" sqref="D25"/>
    </sheetView>
  </sheetViews>
  <sheetFormatPr defaultColWidth="9.140625" defaultRowHeight="15" x14ac:dyDescent="0.25"/>
  <cols>
    <col min="1" max="1" width="9.42578125" style="46" bestFit="1" customWidth="1"/>
    <col min="2" max="2" width="3.7109375" style="23" bestFit="1" customWidth="1"/>
    <col min="3" max="3" width="22" style="23" bestFit="1" customWidth="1"/>
    <col min="4" max="4" width="14.28515625" style="24" bestFit="1" customWidth="1"/>
    <col min="5" max="5" width="13.7109375" style="23" bestFit="1" customWidth="1"/>
    <col min="6" max="6" width="10.5703125" style="3" bestFit="1" customWidth="1"/>
    <col min="7" max="7" width="22" style="23" bestFit="1" customWidth="1"/>
    <col min="8" max="8" width="6.28515625" style="3" bestFit="1" customWidth="1"/>
    <col min="9" max="9" width="3.140625" style="3" bestFit="1" customWidth="1"/>
    <col min="10" max="10" width="23.85546875" style="3" bestFit="1" customWidth="1"/>
    <col min="11" max="11" width="10.140625" style="23" bestFit="1" customWidth="1"/>
    <col min="12" max="12" width="23.85546875" style="3" bestFit="1" customWidth="1"/>
    <col min="13" max="13" width="28.140625" style="46" bestFit="1" customWidth="1"/>
    <col min="14" max="14" width="14.85546875" style="46" bestFit="1" customWidth="1"/>
    <col min="15" max="15" width="9.140625" style="46" bestFit="1" customWidth="1"/>
    <col min="16" max="16" width="13.7109375" style="46" bestFit="1" customWidth="1"/>
    <col min="17" max="17" width="23.85546875" style="46" bestFit="1" customWidth="1"/>
    <col min="18" max="18" width="8" style="46" bestFit="1" customWidth="1"/>
    <col min="19" max="16384" width="9.140625" style="46"/>
  </cols>
  <sheetData>
    <row r="1" spans="1:18" s="50" customFormat="1" x14ac:dyDescent="0.25">
      <c r="A1" s="1" t="str">
        <f>+SCHEDULE!A1</f>
        <v>G #</v>
      </c>
      <c r="B1" s="1" t="s">
        <v>80</v>
      </c>
      <c r="C1" s="1" t="str">
        <f>+SCHEDULE!B1</f>
        <v>Day</v>
      </c>
      <c r="D1" s="1" t="str">
        <f>+SCHEDULE!C1</f>
        <v>Date</v>
      </c>
      <c r="E1" s="1" t="str">
        <f>+SCHEDULE!D1</f>
        <v>Time</v>
      </c>
      <c r="F1" s="49"/>
      <c r="G1" s="78" t="str">
        <f>+SCHEDULE!F1</f>
        <v>Teams &amp; Scores</v>
      </c>
      <c r="H1" s="79"/>
      <c r="I1" s="79"/>
      <c r="J1" s="79"/>
      <c r="K1" s="80"/>
      <c r="L1" s="1" t="str">
        <f>+SCHEDULE!L1</f>
        <v>Host/Park/Field</v>
      </c>
      <c r="M1" s="1" t="str">
        <f>+SCHEDULE!M1</f>
        <v>Umpire(s)</v>
      </c>
      <c r="N1" s="1" t="s">
        <v>81</v>
      </c>
      <c r="O1" s="1" t="s">
        <v>82</v>
      </c>
      <c r="P1" s="1" t="s">
        <v>83</v>
      </c>
      <c r="Q1" s="1" t="s">
        <v>84</v>
      </c>
      <c r="R1" s="1" t="s">
        <v>85</v>
      </c>
    </row>
    <row r="2" spans="1:18" x14ac:dyDescent="0.25">
      <c r="A2" s="6" t="str">
        <f>CONCATENATE($C$41,"-",TEXT(B2,"00"))</f>
        <v>BB-12-01</v>
      </c>
      <c r="B2" s="6">
        <v>1</v>
      </c>
      <c r="C2" s="7">
        <f>+D2</f>
        <v>45829</v>
      </c>
      <c r="D2" s="8">
        <f>VLOOKUP($B2,SCHEDULE!$A$2:$M$28,3,FALSE)</f>
        <v>45829</v>
      </c>
      <c r="E2" s="10">
        <f>VLOOKUP($B2,SCHEDULE!$A$2:$M$28,4,FALSE)</f>
        <v>0.54166666666666663</v>
      </c>
      <c r="F2" s="10"/>
      <c r="G2" s="11" t="str">
        <f>VLOOKUP($B2,SCHEDULE!$A$2:$M$28,6,FALSE)</f>
        <v>Pottsgrove-Pottstown</v>
      </c>
      <c r="H2" s="12">
        <f>VLOOKUP($B2,SCHEDULE!$A$2:$M$28,7,FALSE)</f>
        <v>0</v>
      </c>
      <c r="I2" s="12" t="str">
        <f>VLOOKUP($B2,SCHEDULE!$A$2:$M$28,8,FALSE)</f>
        <v>vs</v>
      </c>
      <c r="J2" s="11" t="str">
        <f>VLOOKUP($B2,SCHEDULE!$A$2:$M$28,9,FALSE)</f>
        <v>Radnor/Wayne</v>
      </c>
      <c r="K2" s="12">
        <f>VLOOKUP($B2,SCHEDULE!$A$2:$M$28,10,FALSE)</f>
        <v>14</v>
      </c>
      <c r="L2" s="12" t="str">
        <f>VLOOKUP($B2,SCHEDULE!$A$2:$M$28,12,FALSE)</f>
        <v>Lower Merion</v>
      </c>
      <c r="M2" s="54" t="str">
        <f>VLOOKUP($B2,SCHEDULE!$A$2:$M$28,13,FALSE)</f>
        <v>Assigned by 
D27 Gary Hall</v>
      </c>
      <c r="N2" s="45" t="s">
        <v>86</v>
      </c>
      <c r="O2" s="12" t="s">
        <v>89</v>
      </c>
      <c r="P2" s="12" t="str">
        <f>+$C$41</f>
        <v>BB-12</v>
      </c>
      <c r="Q2" s="12"/>
      <c r="R2" s="12"/>
    </row>
    <row r="3" spans="1:18" x14ac:dyDescent="0.25">
      <c r="A3" s="6" t="str">
        <f t="shared" ref="A3:A20" si="0">CONCATENATE($C$41,"-",TEXT(B3,"00"))</f>
        <v>BB-12-02</v>
      </c>
      <c r="B3" s="6">
        <f>+B2+1</f>
        <v>2</v>
      </c>
      <c r="C3" s="7">
        <f t="shared" ref="C3:C20" si="1">+D3</f>
        <v>45829</v>
      </c>
      <c r="D3" s="8">
        <f>VLOOKUP($B3,SCHEDULE!$A$2:$M$28,3,FALSE)</f>
        <v>45829</v>
      </c>
      <c r="E3" s="10">
        <f>VLOOKUP($B3,SCHEDULE!$A$2:$M$28,4,FALSE)</f>
        <v>0.45833333333333331</v>
      </c>
      <c r="F3" s="10"/>
      <c r="G3" s="11" t="str">
        <f>VLOOKUP($B3,SCHEDULE!$A$2:$M$28,6,FALSE)</f>
        <v>Lower Merion</v>
      </c>
      <c r="H3" s="12">
        <f>VLOOKUP($B3,SCHEDULE!$A$2:$M$28,7,FALSE)</f>
        <v>9</v>
      </c>
      <c r="I3" s="12" t="str">
        <f>VLOOKUP($B3,SCHEDULE!$A$2:$M$28,8,FALSE)</f>
        <v>vs</v>
      </c>
      <c r="J3" s="11" t="str">
        <f>VLOOKUP($B3,SCHEDULE!$A$2:$M$28,9,FALSE)</f>
        <v>Berwyn/Paoli</v>
      </c>
      <c r="K3" s="12">
        <f>VLOOKUP($B3,SCHEDULE!$A$2:$M$28,10,FALSE)</f>
        <v>8</v>
      </c>
      <c r="L3" s="12" t="str">
        <f>VLOOKUP($B3,SCHEDULE!$A$2:$M$28,12,FALSE)</f>
        <v>Lower Merion</v>
      </c>
      <c r="M3" s="54" t="str">
        <f>VLOOKUP($B3,SCHEDULE!$A$2:$M$28,13,FALSE)</f>
        <v>Assigned by 
D27 Gary Hall</v>
      </c>
      <c r="N3" s="45" t="s">
        <v>86</v>
      </c>
      <c r="O3" s="12" t="s">
        <v>89</v>
      </c>
      <c r="P3" s="12" t="str">
        <f t="shared" ref="P3:P20" si="2">+$C$41</f>
        <v>BB-12</v>
      </c>
      <c r="Q3" s="12"/>
      <c r="R3" s="12"/>
    </row>
    <row r="4" spans="1:18" x14ac:dyDescent="0.25">
      <c r="A4" s="6" t="str">
        <f t="shared" si="0"/>
        <v>BB-12-03</v>
      </c>
      <c r="B4" s="6">
        <f t="shared" ref="B4:B20" si="3">+B3+1</f>
        <v>3</v>
      </c>
      <c r="C4" s="7">
        <f t="shared" si="1"/>
        <v>45830</v>
      </c>
      <c r="D4" s="8">
        <f>VLOOKUP($B4,SCHEDULE!$A$2:$M$28,3,FALSE)</f>
        <v>45830</v>
      </c>
      <c r="E4" s="10">
        <f>VLOOKUP($B4,SCHEDULE!$A$2:$M$28,4,FALSE)</f>
        <v>0.625</v>
      </c>
      <c r="F4" s="10"/>
      <c r="G4" s="11" t="str">
        <f>VLOOKUP($B4,SCHEDULE!$A$2:$M$28,6,FALSE)</f>
        <v>Lower Perk</v>
      </c>
      <c r="H4" s="12">
        <f>VLOOKUP($B4,SCHEDULE!$A$2:$M$28,7,FALSE)</f>
        <v>5</v>
      </c>
      <c r="I4" s="12" t="str">
        <f>VLOOKUP($B4,SCHEDULE!$A$2:$M$28,8,FALSE)</f>
        <v>vs</v>
      </c>
      <c r="J4" s="11" t="str">
        <f>VLOOKUP($B4,SCHEDULE!$A$2:$M$28,9,FALSE)</f>
        <v>Chester Valley</v>
      </c>
      <c r="K4" s="12">
        <f>VLOOKUP($B4,SCHEDULE!$A$2:$M$28,10,FALSE)</f>
        <v>3</v>
      </c>
      <c r="L4" s="12" t="str">
        <f>VLOOKUP($B4,SCHEDULE!$A$2:$M$28,12,FALSE)</f>
        <v>D/S-Clarke Field</v>
      </c>
      <c r="M4" s="54" t="str">
        <f>VLOOKUP($B4,SCHEDULE!$A$2:$M$28,13,FALSE)</f>
        <v>Assigned by 
D27 Gary Hall</v>
      </c>
      <c r="N4" s="45" t="s">
        <v>86</v>
      </c>
      <c r="O4" s="12" t="s">
        <v>89</v>
      </c>
      <c r="P4" s="12" t="str">
        <f t="shared" si="2"/>
        <v>BB-12</v>
      </c>
      <c r="Q4" s="12"/>
      <c r="R4" s="12"/>
    </row>
    <row r="5" spans="1:18" x14ac:dyDescent="0.25">
      <c r="A5" s="6" t="str">
        <f t="shared" si="0"/>
        <v>BB-12-04</v>
      </c>
      <c r="B5" s="6">
        <f t="shared" si="3"/>
        <v>4</v>
      </c>
      <c r="C5" s="7">
        <f t="shared" si="1"/>
        <v>45830</v>
      </c>
      <c r="D5" s="8">
        <f>VLOOKUP($B5,SCHEDULE!$A$2:$M$28,3,FALSE)</f>
        <v>45830</v>
      </c>
      <c r="E5" s="10">
        <f>VLOOKUP($B5,SCHEDULE!$A$2:$M$28,4,FALSE)</f>
        <v>0.54166666666666663</v>
      </c>
      <c r="F5" s="10"/>
      <c r="G5" s="11" t="str">
        <f>VLOOKUP($B5,SCHEDULE!$A$2:$M$28,6,FALSE)</f>
        <v>Devon/Strafford</v>
      </c>
      <c r="H5" s="12">
        <f>VLOOKUP($B5,SCHEDULE!$A$2:$M$28,7,FALSE)</f>
        <v>7</v>
      </c>
      <c r="I5" s="12" t="str">
        <f>VLOOKUP($B5,SCHEDULE!$A$2:$M$28,8,FALSE)</f>
        <v>vs</v>
      </c>
      <c r="J5" s="11" t="str">
        <f>VLOOKUP($B5,SCHEDULE!$A$2:$M$28,9,FALSE)</f>
        <v>Coventry</v>
      </c>
      <c r="K5" s="12">
        <f>VLOOKUP($B5,SCHEDULE!$A$2:$M$28,10,FALSE)</f>
        <v>4</v>
      </c>
      <c r="L5" s="12" t="str">
        <f>VLOOKUP($B5,SCHEDULE!$A$2:$M$28,12,FALSE)</f>
        <v>D/S-Clarke Field</v>
      </c>
      <c r="M5" s="54" t="str">
        <f>VLOOKUP($B5,SCHEDULE!$A$2:$M$28,13,FALSE)</f>
        <v>Assigned by 
D27 Gary Hall</v>
      </c>
      <c r="N5" s="45" t="s">
        <v>86</v>
      </c>
      <c r="O5" s="12" t="s">
        <v>89</v>
      </c>
      <c r="P5" s="12" t="str">
        <f t="shared" si="2"/>
        <v>BB-12</v>
      </c>
      <c r="Q5" s="12"/>
      <c r="R5" s="12"/>
    </row>
    <row r="6" spans="1:18" x14ac:dyDescent="0.25">
      <c r="A6" s="6" t="str">
        <f t="shared" si="0"/>
        <v>BB-12-05</v>
      </c>
      <c r="B6" s="6">
        <f t="shared" si="3"/>
        <v>5</v>
      </c>
      <c r="C6" s="7">
        <f t="shared" si="1"/>
        <v>45830</v>
      </c>
      <c r="D6" s="8">
        <f>VLOOKUP($B6,SCHEDULE!$A$2:$M$28,3,FALSE)</f>
        <v>45830</v>
      </c>
      <c r="E6" s="10">
        <f>VLOOKUP($B6,SCHEDULE!$A$2:$M$28,4,FALSE)</f>
        <v>0.58333333333333337</v>
      </c>
      <c r="F6" s="10"/>
      <c r="G6" s="11" t="str">
        <f ca="1">VLOOKUP($B6,SCHEDULE!$A$2:$M$28,6,FALSE)</f>
        <v>Radnor/Wayne</v>
      </c>
      <c r="H6" s="12">
        <f>VLOOKUP($B6,SCHEDULE!$A$2:$M$28,7,FALSE)</f>
        <v>3</v>
      </c>
      <c r="I6" s="12" t="str">
        <f>VLOOKUP($B6,SCHEDULE!$A$2:$M$28,8,FALSE)</f>
        <v>vs</v>
      </c>
      <c r="J6" s="11" t="str">
        <f>VLOOKUP($B6,SCHEDULE!$A$2:$M$28,9,FALSE)</f>
        <v>Upper Providence</v>
      </c>
      <c r="K6" s="12">
        <f>VLOOKUP($B6,SCHEDULE!$A$2:$M$28,10,FALSE)</f>
        <v>6</v>
      </c>
      <c r="L6" s="12" t="str">
        <f>VLOOKUP($B6,SCHEDULE!$A$2:$M$28,12,FALSE)</f>
        <v>GV-King Road</v>
      </c>
      <c r="M6" s="54" t="str">
        <f>VLOOKUP($B6,SCHEDULE!$A$2:$M$28,13,FALSE)</f>
        <v>Assigned by 
D27 Gary Hall</v>
      </c>
      <c r="N6" s="45" t="s">
        <v>86</v>
      </c>
      <c r="O6" s="12" t="s">
        <v>89</v>
      </c>
      <c r="P6" s="12" t="str">
        <f t="shared" si="2"/>
        <v>BB-12</v>
      </c>
      <c r="Q6" s="12"/>
      <c r="R6" s="12"/>
    </row>
    <row r="7" spans="1:18" x14ac:dyDescent="0.25">
      <c r="A7" s="6" t="str">
        <f t="shared" si="0"/>
        <v>BB-12-06</v>
      </c>
      <c r="B7" s="6">
        <f t="shared" si="3"/>
        <v>6</v>
      </c>
      <c r="C7" s="7">
        <f t="shared" si="1"/>
        <v>45830</v>
      </c>
      <c r="D7" s="8">
        <f>VLOOKUP($B7,SCHEDULE!$A$2:$M$28,3,FALSE)</f>
        <v>45830</v>
      </c>
      <c r="E7" s="10">
        <f>VLOOKUP($B7,SCHEDULE!$A$2:$M$28,4,FALSE)</f>
        <v>0.5</v>
      </c>
      <c r="F7" s="10"/>
      <c r="G7" s="11" t="str">
        <f ca="1">VLOOKUP($B7,SCHEDULE!$A$2:$M$28,6,FALSE)</f>
        <v>Lower Merion</v>
      </c>
      <c r="H7" s="12">
        <f>VLOOKUP($B7,SCHEDULE!$A$2:$M$28,7,FALSE)</f>
        <v>4</v>
      </c>
      <c r="I7" s="12" t="str">
        <f>VLOOKUP($B7,SCHEDULE!$A$2:$M$28,8,FALSE)</f>
        <v>vs</v>
      </c>
      <c r="J7" s="11" t="str">
        <f>VLOOKUP($B7,SCHEDULE!$A$2:$M$28,9,FALSE)</f>
        <v>GVE</v>
      </c>
      <c r="K7" s="12">
        <f>VLOOKUP($B7,SCHEDULE!$A$2:$M$28,10,FALSE)</f>
        <v>3</v>
      </c>
      <c r="L7" s="12" t="str">
        <f>VLOOKUP($B7,SCHEDULE!$A$2:$M$28,12,FALSE)</f>
        <v>GV-King Road</v>
      </c>
      <c r="M7" s="54" t="str">
        <f>VLOOKUP($B7,SCHEDULE!$A$2:$M$28,13,FALSE)</f>
        <v>Assigned by 
D27 Gary Hall</v>
      </c>
      <c r="N7" s="45" t="s">
        <v>86</v>
      </c>
      <c r="O7" s="12" t="s">
        <v>89</v>
      </c>
      <c r="P7" s="12" t="str">
        <f t="shared" si="2"/>
        <v>BB-12</v>
      </c>
      <c r="Q7" s="12"/>
      <c r="R7" s="12"/>
    </row>
    <row r="8" spans="1:18" x14ac:dyDescent="0.25">
      <c r="A8" s="6" t="str">
        <f t="shared" si="0"/>
        <v>BB-12-07</v>
      </c>
      <c r="B8" s="6">
        <f t="shared" si="3"/>
        <v>7</v>
      </c>
      <c r="C8" s="7">
        <f t="shared" si="1"/>
        <v>45832</v>
      </c>
      <c r="D8" s="8">
        <f>VLOOKUP($B8,SCHEDULE!$A$2:$M$28,3,FALSE)</f>
        <v>45832</v>
      </c>
      <c r="E8" s="42">
        <f>VLOOKUP($B8,SCHEDULE!$A$2:$M$28,4,FALSE)</f>
        <v>0.83333333333333337</v>
      </c>
      <c r="F8" s="10"/>
      <c r="G8" s="11" t="str">
        <f ca="1">VLOOKUP($B8,SCHEDULE!$A$2:$M$28,6,FALSE)</f>
        <v>Berwyn/Paoli</v>
      </c>
      <c r="H8" s="12">
        <f>VLOOKUP($B8,SCHEDULE!$A$2:$M$28,7,FALSE)</f>
        <v>7</v>
      </c>
      <c r="I8" s="12" t="str">
        <f>VLOOKUP($B8,SCHEDULE!$A$2:$M$28,8,FALSE)</f>
        <v>vs</v>
      </c>
      <c r="J8" s="11" t="str">
        <f ca="1">VLOOKUP($B8,SCHEDULE!$A$2:$M$28,9,FALSE)</f>
        <v>Chester Valley</v>
      </c>
      <c r="K8" s="12">
        <f>VLOOKUP($B8,SCHEDULE!$A$2:$M$28,10,FALSE)</f>
        <v>6</v>
      </c>
      <c r="L8" s="12" t="str">
        <f>VLOOKUP($B8,SCHEDULE!$A$2:$M$28,12,FALSE)</f>
        <v>PGP-Novak Field</v>
      </c>
      <c r="M8" s="54" t="str">
        <f>VLOOKUP($B8,SCHEDULE!$A$2:$M$28,13,FALSE)</f>
        <v>Assigned by 
D27 Gary Hall</v>
      </c>
      <c r="N8" s="45" t="s">
        <v>86</v>
      </c>
      <c r="O8" s="12" t="s">
        <v>89</v>
      </c>
      <c r="P8" s="12" t="str">
        <f t="shared" si="2"/>
        <v>BB-12</v>
      </c>
      <c r="Q8" s="12"/>
      <c r="R8" s="12"/>
    </row>
    <row r="9" spans="1:18" x14ac:dyDescent="0.25">
      <c r="A9" s="6" t="str">
        <f t="shared" si="0"/>
        <v>BB-12-08</v>
      </c>
      <c r="B9" s="6">
        <f t="shared" si="3"/>
        <v>8</v>
      </c>
      <c r="C9" s="7">
        <f t="shared" si="1"/>
        <v>45832</v>
      </c>
      <c r="D9" s="8">
        <f>VLOOKUP($B9,SCHEDULE!$A$2:$M$28,3,FALSE)</f>
        <v>45832</v>
      </c>
      <c r="E9" s="10">
        <f>VLOOKUP($B9,SCHEDULE!$A$2:$M$28,4,FALSE)</f>
        <v>0.75</v>
      </c>
      <c r="F9" s="10"/>
      <c r="G9" s="13" t="str">
        <f ca="1">VLOOKUP($B9,SCHEDULE!$A$2:$M$28,6,FALSE)</f>
        <v>Pottsgrove-Pottstown</v>
      </c>
      <c r="H9" s="12">
        <f>VLOOKUP($B9,SCHEDULE!$A$2:$M$28,7,FALSE)</f>
        <v>2</v>
      </c>
      <c r="I9" s="12" t="str">
        <f>VLOOKUP($B9,SCHEDULE!$A$2:$M$28,8,FALSE)</f>
        <v>vs</v>
      </c>
      <c r="J9" s="13" t="str">
        <f ca="1">VLOOKUP($B9,SCHEDULE!$A$2:$M$28,9,FALSE)</f>
        <v>Coventry</v>
      </c>
      <c r="K9" s="12">
        <f>VLOOKUP($B9,SCHEDULE!$A$2:$M$28,10,FALSE)</f>
        <v>16</v>
      </c>
      <c r="L9" s="12" t="str">
        <f>VLOOKUP($B9,SCHEDULE!$A$2:$M$28,12,FALSE)</f>
        <v>PGP-Novak Field</v>
      </c>
      <c r="M9" s="54" t="str">
        <f>VLOOKUP($B9,SCHEDULE!$A$2:$M$28,13,FALSE)</f>
        <v>Assigned by 
D27 Gary Hall</v>
      </c>
      <c r="N9" s="45" t="s">
        <v>86</v>
      </c>
      <c r="O9" s="12" t="s">
        <v>89</v>
      </c>
      <c r="P9" s="12" t="str">
        <f t="shared" si="2"/>
        <v>BB-12</v>
      </c>
      <c r="Q9" s="12"/>
      <c r="R9" s="12"/>
    </row>
    <row r="10" spans="1:18" x14ac:dyDescent="0.25">
      <c r="A10" s="6" t="str">
        <f t="shared" si="0"/>
        <v>BB-12-09</v>
      </c>
      <c r="B10" s="6">
        <f t="shared" si="3"/>
        <v>9</v>
      </c>
      <c r="C10" s="7">
        <f t="shared" si="1"/>
        <v>45833</v>
      </c>
      <c r="D10" s="8">
        <f>VLOOKUP($B10,SCHEDULE!$A$2:$M$28,3,FALSE)</f>
        <v>45833</v>
      </c>
      <c r="E10" s="10">
        <f>VLOOKUP($B10,SCHEDULE!$A$2:$M$28,4,FALSE)</f>
        <v>0.75</v>
      </c>
      <c r="F10" s="10"/>
      <c r="G10" s="13" t="str">
        <f ca="1">VLOOKUP($B10,SCHEDULE!$A$2:$M$28,6,FALSE)</f>
        <v>Berwyn/Paoli</v>
      </c>
      <c r="H10" s="12">
        <f>VLOOKUP($B10,SCHEDULE!$A$2:$M$28,7,FALSE)</f>
        <v>0</v>
      </c>
      <c r="I10" s="12" t="str">
        <f>VLOOKUP($B10,SCHEDULE!$A$2:$M$28,8,FALSE)</f>
        <v>vs</v>
      </c>
      <c r="J10" s="13" t="str">
        <f ca="1">VLOOKUP($B10,SCHEDULE!$A$2:$M$28,9,FALSE)</f>
        <v>Radnor/Wayne</v>
      </c>
      <c r="K10" s="12">
        <f>VLOOKUP($B10,SCHEDULE!$A$2:$M$28,10,FALSE)</f>
        <v>8</v>
      </c>
      <c r="L10" s="12" t="str">
        <f>VLOOKUP($B10,SCHEDULE!$A$2:$M$28,12,FALSE)</f>
        <v>BP-Field of Dreams</v>
      </c>
      <c r="M10" s="54" t="str">
        <f>VLOOKUP($B10,SCHEDULE!$A$2:$M$28,13,FALSE)</f>
        <v>Assigned by 
D27 Gary Hall</v>
      </c>
      <c r="N10" s="45" t="s">
        <v>86</v>
      </c>
      <c r="O10" s="12" t="s">
        <v>89</v>
      </c>
      <c r="P10" s="12" t="str">
        <f t="shared" si="2"/>
        <v>BB-12</v>
      </c>
      <c r="Q10" s="12"/>
      <c r="R10" s="12"/>
    </row>
    <row r="11" spans="1:18" x14ac:dyDescent="0.25">
      <c r="A11" s="6" t="str">
        <f t="shared" si="0"/>
        <v>BB-12-10</v>
      </c>
      <c r="B11" s="6">
        <f t="shared" si="3"/>
        <v>10</v>
      </c>
      <c r="C11" s="7">
        <f t="shared" si="1"/>
        <v>45833</v>
      </c>
      <c r="D11" s="8">
        <f>VLOOKUP($B11,SCHEDULE!$A$2:$M$28,3,FALSE)</f>
        <v>45833</v>
      </c>
      <c r="E11" s="42">
        <f>VLOOKUP($B11,SCHEDULE!$A$2:$M$28,4,FALSE)</f>
        <v>0.79166666666666663</v>
      </c>
      <c r="F11" s="10"/>
      <c r="G11" s="13" t="str">
        <f ca="1">VLOOKUP($B11,SCHEDULE!$A$2:$M$28,6,FALSE)</f>
        <v>Coventry</v>
      </c>
      <c r="H11" s="12">
        <f>VLOOKUP($B11,SCHEDULE!$A$2:$M$28,7,FALSE)</f>
        <v>2</v>
      </c>
      <c r="I11" s="12" t="str">
        <f>VLOOKUP($B11,SCHEDULE!$A$2:$M$28,8,FALSE)</f>
        <v>vs</v>
      </c>
      <c r="J11" s="13" t="str">
        <f ca="1">VLOOKUP($B11,SCHEDULE!$A$2:$M$28,9,FALSE)</f>
        <v>GVE</v>
      </c>
      <c r="K11" s="12">
        <f>VLOOKUP($B11,SCHEDULE!$A$2:$M$28,10,FALSE)</f>
        <v>13</v>
      </c>
      <c r="L11" s="12" t="str">
        <f>VLOOKUP($B11,SCHEDULE!$A$2:$M$28,12,FALSE)</f>
        <v>COV-Wampler Complex</v>
      </c>
      <c r="M11" s="54" t="str">
        <f>VLOOKUP($B11,SCHEDULE!$A$2:$M$28,13,FALSE)</f>
        <v>Assigned by 
D27 Gary Hall</v>
      </c>
      <c r="N11" s="45" t="s">
        <v>86</v>
      </c>
      <c r="O11" s="12" t="s">
        <v>89</v>
      </c>
      <c r="P11" s="12" t="str">
        <f t="shared" si="2"/>
        <v>BB-12</v>
      </c>
      <c r="Q11" s="12"/>
      <c r="R11" s="12"/>
    </row>
    <row r="12" spans="1:18" x14ac:dyDescent="0.25">
      <c r="A12" s="6" t="str">
        <f t="shared" si="0"/>
        <v>BB-12-11</v>
      </c>
      <c r="B12" s="6">
        <f t="shared" si="3"/>
        <v>11</v>
      </c>
      <c r="C12" s="7">
        <f t="shared" si="1"/>
        <v>45835</v>
      </c>
      <c r="D12" s="8">
        <f>VLOOKUP($B12,SCHEDULE!$A$2:$M$28,3,FALSE)</f>
        <v>45835</v>
      </c>
      <c r="E12" s="10">
        <f>VLOOKUP($B12,SCHEDULE!$A$2:$M$28,4,FALSE)</f>
        <v>0.75</v>
      </c>
      <c r="F12" s="10"/>
      <c r="G12" s="13" t="str">
        <f ca="1">VLOOKUP($B12,SCHEDULE!$A$2:$M$28,6,FALSE)</f>
        <v>Lower Perk</v>
      </c>
      <c r="H12" s="12">
        <f>VLOOKUP($B12,SCHEDULE!$A$2:$M$28,7,FALSE)</f>
        <v>6</v>
      </c>
      <c r="I12" s="12" t="str">
        <f>VLOOKUP($B12,SCHEDULE!$A$2:$M$28,8,FALSE)</f>
        <v>vs</v>
      </c>
      <c r="J12" s="13" t="str">
        <f ca="1">VLOOKUP($B12,SCHEDULE!$A$2:$M$28,9,FALSE)</f>
        <v>Upper Providence</v>
      </c>
      <c r="K12" s="12">
        <f>VLOOKUP($B12,SCHEDULE!$A$2:$M$28,10,FALSE)</f>
        <v>3</v>
      </c>
      <c r="L12" s="12" t="str">
        <f>VLOOKUP($B12,SCHEDULE!$A$2:$M$28,12,FALSE)</f>
        <v>UP-MacFarlan Park</v>
      </c>
      <c r="M12" s="54" t="str">
        <f>VLOOKUP($B12,SCHEDULE!$A$2:$M$28,13,FALSE)</f>
        <v>Assigned by 
D27 Gary Hall</v>
      </c>
      <c r="N12" s="45" t="s">
        <v>86</v>
      </c>
      <c r="O12" s="12" t="s">
        <v>89</v>
      </c>
      <c r="P12" s="12" t="str">
        <f t="shared" si="2"/>
        <v>BB-12</v>
      </c>
      <c r="Q12" s="12"/>
      <c r="R12" s="12"/>
    </row>
    <row r="13" spans="1:18" x14ac:dyDescent="0.25">
      <c r="A13" s="6" t="str">
        <f t="shared" si="0"/>
        <v>BB-12-12</v>
      </c>
      <c r="B13" s="6">
        <f t="shared" si="3"/>
        <v>12</v>
      </c>
      <c r="C13" s="7">
        <f t="shared" si="1"/>
        <v>45835</v>
      </c>
      <c r="D13" s="8">
        <f>VLOOKUP($B13,SCHEDULE!$A$2:$M$28,3,FALSE)</f>
        <v>45835</v>
      </c>
      <c r="E13" s="42">
        <f>VLOOKUP($B13,SCHEDULE!$A$2:$M$28,4,FALSE)</f>
        <v>0.8125</v>
      </c>
      <c r="F13" s="10"/>
      <c r="G13" s="13" t="str">
        <f ca="1">VLOOKUP($B13,SCHEDULE!$A$2:$M$28,6,FALSE)</f>
        <v>Lower Merion</v>
      </c>
      <c r="H13" s="12">
        <f>VLOOKUP($B13,SCHEDULE!$A$2:$M$28,7,FALSE)</f>
        <v>5</v>
      </c>
      <c r="I13" s="12" t="str">
        <f>VLOOKUP($B13,SCHEDULE!$A$2:$M$28,8,FALSE)</f>
        <v>vs</v>
      </c>
      <c r="J13" s="13" t="str">
        <f ca="1">VLOOKUP($B13,SCHEDULE!$A$2:$M$28,9,FALSE)</f>
        <v>Devon/Strafford</v>
      </c>
      <c r="K13" s="12">
        <f>VLOOKUP($B13,SCHEDULE!$A$2:$M$28,10,FALSE)</f>
        <v>2</v>
      </c>
      <c r="L13" s="12" t="str">
        <f>VLOOKUP($B13,SCHEDULE!$A$2:$M$28,12,FALSE)</f>
        <v>UP-MacFarlan Park</v>
      </c>
      <c r="M13" s="54" t="str">
        <f>VLOOKUP($B13,SCHEDULE!$A$2:$M$28,13,FALSE)</f>
        <v>Assigned by 
D27 Gary Hall</v>
      </c>
      <c r="N13" s="45" t="s">
        <v>86</v>
      </c>
      <c r="O13" s="12" t="s">
        <v>89</v>
      </c>
      <c r="P13" s="12" t="str">
        <f t="shared" si="2"/>
        <v>BB-12</v>
      </c>
      <c r="Q13" s="12"/>
      <c r="R13" s="12"/>
    </row>
    <row r="14" spans="1:18" x14ac:dyDescent="0.25">
      <c r="A14" s="6" t="str">
        <f t="shared" si="0"/>
        <v>BB-12-13</v>
      </c>
      <c r="B14" s="6">
        <f t="shared" si="3"/>
        <v>13</v>
      </c>
      <c r="C14" s="7">
        <f t="shared" si="1"/>
        <v>45836</v>
      </c>
      <c r="D14" s="8">
        <f>VLOOKUP($B14,SCHEDULE!$A$2:$M$28,3,FALSE)</f>
        <v>45836</v>
      </c>
      <c r="E14" s="10">
        <f>VLOOKUP($B14,SCHEDULE!$A$2:$M$28,4,FALSE)</f>
        <v>0.41666666666666669</v>
      </c>
      <c r="F14" s="10"/>
      <c r="G14" s="13" t="str">
        <f ca="1">VLOOKUP($B14,SCHEDULE!$A$2:$M$28,6,FALSE)</f>
        <v>GVE</v>
      </c>
      <c r="H14" s="12">
        <f>VLOOKUP($B14,SCHEDULE!$A$2:$M$28,7,FALSE)</f>
        <v>2</v>
      </c>
      <c r="I14" s="12" t="str">
        <f>VLOOKUP($B14,SCHEDULE!$A$2:$M$28,8,FALSE)</f>
        <v>vs</v>
      </c>
      <c r="J14" s="13" t="str">
        <f ca="1">VLOOKUP($B14,SCHEDULE!$A$2:$M$28,9,FALSE)</f>
        <v>Upper Providence</v>
      </c>
      <c r="K14" s="12">
        <f>VLOOKUP($B14,SCHEDULE!$A$2:$M$28,10,FALSE)</f>
        <v>0</v>
      </c>
      <c r="L14" s="12" t="str">
        <f>VLOOKUP($B14,SCHEDULE!$A$2:$M$28,12,FALSE)</f>
        <v>CV-Monument Park</v>
      </c>
      <c r="M14" s="54" t="str">
        <f>VLOOKUP($B14,SCHEDULE!$A$2:$M$28,13,FALSE)</f>
        <v>Assigned by 
D27 Gary Hall</v>
      </c>
      <c r="N14" s="45" t="s">
        <v>86</v>
      </c>
      <c r="O14" s="12" t="s">
        <v>89</v>
      </c>
      <c r="P14" s="12" t="str">
        <f t="shared" si="2"/>
        <v>BB-12</v>
      </c>
      <c r="Q14" s="12"/>
      <c r="R14" s="12"/>
    </row>
    <row r="15" spans="1:18" x14ac:dyDescent="0.25">
      <c r="A15" s="6" t="str">
        <f t="shared" si="0"/>
        <v>BB-12-14</v>
      </c>
      <c r="B15" s="6">
        <f t="shared" si="3"/>
        <v>14</v>
      </c>
      <c r="C15" s="7">
        <f t="shared" si="1"/>
        <v>45836</v>
      </c>
      <c r="D15" s="8">
        <f>VLOOKUP($B15,SCHEDULE!$A$2:$M$28,3,FALSE)</f>
        <v>45836</v>
      </c>
      <c r="E15" s="10">
        <f>VLOOKUP($B15,SCHEDULE!$A$2:$M$28,4,FALSE)</f>
        <v>0.5</v>
      </c>
      <c r="F15" s="10"/>
      <c r="G15" s="13" t="str">
        <f ca="1">VLOOKUP($B15,SCHEDULE!$A$2:$M$28,6,FALSE)</f>
        <v>Devon/Strafford</v>
      </c>
      <c r="H15" s="12">
        <f>VLOOKUP($B15,SCHEDULE!$A$2:$M$28,7,FALSE)</f>
        <v>2</v>
      </c>
      <c r="I15" s="12" t="str">
        <f>VLOOKUP($B15,SCHEDULE!$A$2:$M$28,8,FALSE)</f>
        <v>vs</v>
      </c>
      <c r="J15" s="13" t="str">
        <f ca="1">VLOOKUP($B15,SCHEDULE!$A$2:$M$28,9,FALSE)</f>
        <v>Radnor/Wayne</v>
      </c>
      <c r="K15" s="12">
        <f>VLOOKUP($B15,SCHEDULE!$A$2:$M$28,10,FALSE)</f>
        <v>7</v>
      </c>
      <c r="L15" s="12" t="str">
        <f>VLOOKUP($B15,SCHEDULE!$A$2:$M$28,12,FALSE)</f>
        <v>CV-Monument Park</v>
      </c>
      <c r="M15" s="54" t="str">
        <f>VLOOKUP($B15,SCHEDULE!$A$2:$M$28,13,FALSE)</f>
        <v>Assigned by 
D27 Gary Hall</v>
      </c>
      <c r="N15" s="45" t="s">
        <v>86</v>
      </c>
      <c r="O15" s="12" t="s">
        <v>89</v>
      </c>
      <c r="P15" s="12" t="str">
        <f t="shared" si="2"/>
        <v>BB-12</v>
      </c>
      <c r="Q15" s="12"/>
      <c r="R15" s="12"/>
    </row>
    <row r="16" spans="1:18" x14ac:dyDescent="0.25">
      <c r="A16" s="6" t="str">
        <f t="shared" si="0"/>
        <v>BB-12-15</v>
      </c>
      <c r="B16" s="6">
        <f t="shared" si="3"/>
        <v>15</v>
      </c>
      <c r="C16" s="43">
        <f t="shared" si="1"/>
        <v>45837</v>
      </c>
      <c r="D16" s="44">
        <f>VLOOKUP($B16,SCHEDULE!$A$2:$M$28,3,FALSE)</f>
        <v>45837</v>
      </c>
      <c r="E16" s="42">
        <f>VLOOKUP($B16,SCHEDULE!$A$2:$M$28,4,FALSE)</f>
        <v>0.72916666666666663</v>
      </c>
      <c r="F16" s="10"/>
      <c r="G16" s="13" t="str">
        <f ca="1">VLOOKUP($B16,SCHEDULE!$A$2:$M$28,6,FALSE)</f>
        <v>Lower Perk</v>
      </c>
      <c r="H16" s="12">
        <f>VLOOKUP($B16,SCHEDULE!$A$2:$M$28,7,FALSE)</f>
        <v>8</v>
      </c>
      <c r="I16" s="12" t="str">
        <f>VLOOKUP($B16,SCHEDULE!$A$2:$M$28,8,FALSE)</f>
        <v>vs</v>
      </c>
      <c r="J16" s="13" t="str">
        <f ca="1">VLOOKUP($B16,SCHEDULE!$A$2:$M$28,9,FALSE)</f>
        <v>Lower Merion</v>
      </c>
      <c r="K16" s="12">
        <f>VLOOKUP($B16,SCHEDULE!$A$2:$M$28,10,FALSE)</f>
        <v>1</v>
      </c>
      <c r="L16" s="12" t="str">
        <f>VLOOKUP($B16,SCHEDULE!$A$2:$M$28,12,FALSE)</f>
        <v>LP-Palmer Park</v>
      </c>
      <c r="M16" s="54" t="str">
        <f>VLOOKUP($B16,SCHEDULE!$A$2:$M$28,13,FALSE)</f>
        <v>Assigned by 
D27 Gary Hall</v>
      </c>
      <c r="N16" s="45" t="s">
        <v>86</v>
      </c>
      <c r="O16" s="12" t="s">
        <v>89</v>
      </c>
      <c r="P16" s="12" t="str">
        <f t="shared" si="2"/>
        <v>BB-12</v>
      </c>
      <c r="Q16" s="12"/>
      <c r="R16" s="12"/>
    </row>
    <row r="17" spans="1:18" x14ac:dyDescent="0.25">
      <c r="A17" s="6" t="str">
        <f t="shared" si="0"/>
        <v>BB-12-16</v>
      </c>
      <c r="B17" s="6">
        <f t="shared" si="3"/>
        <v>16</v>
      </c>
      <c r="C17" s="7">
        <f t="shared" si="1"/>
        <v>45837</v>
      </c>
      <c r="D17" s="8">
        <f>VLOOKUP($B17,SCHEDULE!$A$2:$M$28,3,FALSE)</f>
        <v>45837</v>
      </c>
      <c r="E17" s="10">
        <f>VLOOKUP($B17,SCHEDULE!$A$2:$M$28,4,FALSE)</f>
        <v>0.64583333333333337</v>
      </c>
      <c r="F17" s="10"/>
      <c r="G17" s="13" t="str">
        <f ca="1">VLOOKUP($B17,SCHEDULE!$A$2:$M$28,6,FALSE)</f>
        <v>GVE</v>
      </c>
      <c r="H17" s="12">
        <f>VLOOKUP($B17,SCHEDULE!$A$2:$M$28,7,FALSE)</f>
        <v>0</v>
      </c>
      <c r="I17" s="12" t="str">
        <f>VLOOKUP($B17,SCHEDULE!$A$2:$M$28,8,FALSE)</f>
        <v>vs</v>
      </c>
      <c r="J17" s="13" t="str">
        <f ca="1">VLOOKUP($B17,SCHEDULE!$A$2:$M$28,9,FALSE)</f>
        <v>Radnor/Wayne</v>
      </c>
      <c r="K17" s="12">
        <f>VLOOKUP($B17,SCHEDULE!$A$2:$M$28,10,FALSE)</f>
        <v>6</v>
      </c>
      <c r="L17" s="12" t="str">
        <f>VLOOKUP($B17,SCHEDULE!$A$2:$M$28,12,FALSE)</f>
        <v>LP-Palmer Park</v>
      </c>
      <c r="M17" s="54" t="str">
        <f>VLOOKUP($B17,SCHEDULE!$A$2:$M$28,13,FALSE)</f>
        <v>Assigned by 
D27 Gary Hall</v>
      </c>
      <c r="N17" s="45" t="s">
        <v>86</v>
      </c>
      <c r="O17" s="12" t="s">
        <v>89</v>
      </c>
      <c r="P17" s="12" t="str">
        <f t="shared" si="2"/>
        <v>BB-12</v>
      </c>
      <c r="Q17" s="12"/>
      <c r="R17" s="12"/>
    </row>
    <row r="18" spans="1:18" x14ac:dyDescent="0.25">
      <c r="A18" s="6" t="str">
        <f t="shared" si="0"/>
        <v>BB-12-17</v>
      </c>
      <c r="B18" s="6">
        <f t="shared" si="3"/>
        <v>17</v>
      </c>
      <c r="C18" s="7">
        <f t="shared" si="1"/>
        <v>45840</v>
      </c>
      <c r="D18" s="8">
        <f>VLOOKUP($B18,SCHEDULE!$A$2:$M$28,3,FALSE)</f>
        <v>45840</v>
      </c>
      <c r="E18" s="42">
        <f>VLOOKUP($B18,SCHEDULE!$A$2:$M$28,4,FALSE)</f>
        <v>0.79166666666666663</v>
      </c>
      <c r="F18" s="10"/>
      <c r="G18" s="13" t="str">
        <f ca="1">VLOOKUP($B18,SCHEDULE!$A$2:$M$28,6,FALSE)</f>
        <v>Radnor/Wayne</v>
      </c>
      <c r="H18" s="12">
        <f>VLOOKUP($B18,SCHEDULE!$A$2:$M$28,7,FALSE)</f>
        <v>7</v>
      </c>
      <c r="I18" s="12" t="str">
        <f>VLOOKUP($B18,SCHEDULE!$A$2:$M$28,8,FALSE)</f>
        <v>vs</v>
      </c>
      <c r="J18" s="13" t="str">
        <f ca="1">VLOOKUP($B18,SCHEDULE!$A$2:$M$28,9,FALSE)</f>
        <v>Lower Merion</v>
      </c>
      <c r="K18" s="12">
        <f>VLOOKUP($B18,SCHEDULE!$A$2:$M$28,10,FALSE)</f>
        <v>2</v>
      </c>
      <c r="L18" s="12" t="str">
        <f>VLOOKUP($B18,SCHEDULE!$A$2:$M$28,12,FALSE)</f>
        <v>COV-Wampler Complex</v>
      </c>
      <c r="M18" s="54" t="str">
        <f>VLOOKUP($B18,SCHEDULE!$A$2:$M$28,13,FALSE)</f>
        <v>Assigned by 
D27 Gary Hall</v>
      </c>
      <c r="N18" s="45" t="s">
        <v>86</v>
      </c>
      <c r="O18" s="12" t="s">
        <v>89</v>
      </c>
      <c r="P18" s="12" t="str">
        <f t="shared" si="2"/>
        <v>BB-12</v>
      </c>
      <c r="Q18" s="12"/>
      <c r="R18" s="12"/>
    </row>
    <row r="19" spans="1:18" x14ac:dyDescent="0.25">
      <c r="A19" s="6" t="str">
        <f t="shared" si="0"/>
        <v>BB-12-18</v>
      </c>
      <c r="B19" s="6">
        <f t="shared" si="3"/>
        <v>18</v>
      </c>
      <c r="C19" s="20">
        <f t="shared" si="1"/>
        <v>45843</v>
      </c>
      <c r="D19" s="21">
        <f>VLOOKUP($B19,SCHEDULE!$A$2:$M$28,3,FALSE)</f>
        <v>45843</v>
      </c>
      <c r="E19" s="22">
        <f>VLOOKUP($B19,SCHEDULE!$A$2:$M$28,4,FALSE)</f>
        <v>0.8125</v>
      </c>
      <c r="F19" s="10"/>
      <c r="G19" s="13" t="str">
        <f ca="1">VLOOKUP($B19,SCHEDULE!$A$2:$M$28,6,FALSE)</f>
        <v>Lower Perk</v>
      </c>
      <c r="H19" s="12">
        <f>VLOOKUP($B19,SCHEDULE!$A$2:$M$28,7,FALSE)</f>
        <v>3</v>
      </c>
      <c r="I19" s="12" t="str">
        <f>VLOOKUP($B19,SCHEDULE!$A$2:$M$28,8,FALSE)</f>
        <v>vs</v>
      </c>
      <c r="J19" s="13" t="str">
        <f ca="1">VLOOKUP($B19,SCHEDULE!$A$2:$M$28,9,FALSE)</f>
        <v>Radnor/Wayne</v>
      </c>
      <c r="K19" s="12">
        <f>VLOOKUP($B19,SCHEDULE!$A$2:$M$28,10,FALSE)</f>
        <v>4</v>
      </c>
      <c r="L19" s="12" t="str">
        <f>VLOOKUP($B19,SCHEDULE!$A$2:$M$28,12,FALSE)</f>
        <v>LP-Palmer Park</v>
      </c>
      <c r="M19" s="54" t="str">
        <f>VLOOKUP($B19,SCHEDULE!$A$2:$M$28,13,FALSE)</f>
        <v>Assigned by 
D27 Gary Hall</v>
      </c>
      <c r="N19" s="45" t="s">
        <v>86</v>
      </c>
      <c r="O19" s="12" t="s">
        <v>89</v>
      </c>
      <c r="P19" s="12" t="str">
        <f t="shared" si="2"/>
        <v>BB-12</v>
      </c>
      <c r="Q19" s="12" t="s">
        <v>84</v>
      </c>
      <c r="R19" s="12"/>
    </row>
    <row r="20" spans="1:18" x14ac:dyDescent="0.25">
      <c r="A20" s="6" t="str">
        <f t="shared" si="0"/>
        <v>BB-12-19</v>
      </c>
      <c r="B20" s="6">
        <f t="shared" si="3"/>
        <v>19</v>
      </c>
      <c r="C20" s="20">
        <f t="shared" si="1"/>
        <v>45844</v>
      </c>
      <c r="D20" s="21">
        <f>VLOOKUP($B20,SCHEDULE!$A$2:$M$28,3,FALSE)</f>
        <v>45844</v>
      </c>
      <c r="E20" s="22">
        <f>VLOOKUP($B20,SCHEDULE!$A$2:$M$28,4,FALSE)</f>
        <v>0.8125</v>
      </c>
      <c r="F20" s="10"/>
      <c r="G20" s="13" t="str">
        <f ca="1">VLOOKUP($B20,SCHEDULE!$A$2:$M$28,6,FALSE)</f>
        <v>Radnor/Wayne</v>
      </c>
      <c r="H20" s="12">
        <f>VLOOKUP($B20,SCHEDULE!$A$2:$M$28,7,FALSE)</f>
        <v>4</v>
      </c>
      <c r="I20" s="12" t="str">
        <f>VLOOKUP($B20,SCHEDULE!$A$2:$M$28,8,FALSE)</f>
        <v>vs</v>
      </c>
      <c r="J20" s="13" t="str">
        <f ca="1">VLOOKUP($B20,SCHEDULE!$A$2:$M$28,9,FALSE)</f>
        <v>Lower Perk</v>
      </c>
      <c r="K20" s="12">
        <f>VLOOKUP($B20,SCHEDULE!$A$2:$M$28,10,FALSE)</f>
        <v>1</v>
      </c>
      <c r="L20" s="12" t="str">
        <f>VLOOKUP($B20,SCHEDULE!$A$2:$M$28,12,FALSE)</f>
        <v>LP-Palmer Park</v>
      </c>
      <c r="M20" s="54" t="str">
        <f>VLOOKUP($B20,SCHEDULE!$A$2:$M$28,13,FALSE)</f>
        <v>Assigned by 
D27 Gary Hall</v>
      </c>
      <c r="N20" s="45" t="s">
        <v>86</v>
      </c>
      <c r="O20" s="12" t="s">
        <v>89</v>
      </c>
      <c r="P20" s="12" t="str">
        <f t="shared" si="2"/>
        <v>BB-12</v>
      </c>
      <c r="Q20" s="12" t="s">
        <v>44</v>
      </c>
      <c r="R20" s="12"/>
    </row>
    <row r="24" spans="1:18" x14ac:dyDescent="0.25">
      <c r="B24" s="4" t="s">
        <v>9</v>
      </c>
      <c r="C24" s="4" t="s">
        <v>10</v>
      </c>
      <c r="D24" s="4" t="s">
        <v>45</v>
      </c>
      <c r="E24" s="4" t="s">
        <v>46</v>
      </c>
      <c r="F24" s="4" t="s">
        <v>48</v>
      </c>
      <c r="G24" s="4"/>
      <c r="H24" s="4" t="s">
        <v>34</v>
      </c>
      <c r="I24" s="4"/>
      <c r="J24" s="4" t="s">
        <v>11</v>
      </c>
      <c r="K24" s="4" t="s">
        <v>49</v>
      </c>
      <c r="L24" s="4" t="s">
        <v>30</v>
      </c>
      <c r="M24" s="4" t="str">
        <f t="shared" ref="M24:M34" si="4">+C24</f>
        <v>Team</v>
      </c>
      <c r="N24" s="4" t="s">
        <v>33</v>
      </c>
      <c r="O24" s="4" t="str">
        <f t="shared" ref="O24:O34" si="5">+D24</f>
        <v>Manager</v>
      </c>
      <c r="P24" s="4" t="str">
        <f t="shared" ref="P24:P34" si="6">+E24</f>
        <v>Email Address</v>
      </c>
      <c r="Q24" s="4" t="str">
        <f>+J24</f>
        <v>Park</v>
      </c>
    </row>
    <row r="25" spans="1:18" x14ac:dyDescent="0.25">
      <c r="B25" s="30">
        <v>1</v>
      </c>
      <c r="C25" s="34" t="s">
        <v>53</v>
      </c>
      <c r="D25" s="34"/>
      <c r="E25" s="47"/>
      <c r="F25" s="35"/>
      <c r="G25" s="35"/>
      <c r="H25" s="35" t="s">
        <v>63</v>
      </c>
      <c r="I25" s="35"/>
      <c r="J25" s="34" t="s">
        <v>72</v>
      </c>
      <c r="K25" s="36">
        <v>12.08</v>
      </c>
      <c r="L25" s="30">
        <f t="shared" ref="L25:L34" si="7">RANK($K25,K$25:K$34,1)</f>
        <v>6</v>
      </c>
      <c r="M25" s="37" t="str">
        <f t="shared" si="4"/>
        <v>Berwyn/Paoli</v>
      </c>
      <c r="N25" s="31" t="str">
        <f t="shared" ref="N25:N34" si="8">_xlfn.CONCAT($H25,$C$40)</f>
        <v>BP-D27-BB12</v>
      </c>
      <c r="O25" s="30">
        <f t="shared" si="5"/>
        <v>0</v>
      </c>
      <c r="P25" s="30">
        <f t="shared" si="6"/>
        <v>0</v>
      </c>
      <c r="Q25" s="31" t="str">
        <f t="shared" ref="Q25:Q34" si="9">IF(J25&lt;&gt;"",J25,"")</f>
        <v>BP-Field of Dreams</v>
      </c>
    </row>
    <row r="26" spans="1:18" x14ac:dyDescent="0.25">
      <c r="B26" s="30">
        <f t="shared" ref="B26:B34" si="10">+B25+1</f>
        <v>2</v>
      </c>
      <c r="C26" s="34" t="s">
        <v>54</v>
      </c>
      <c r="D26" s="34"/>
      <c r="E26" s="34"/>
      <c r="F26" s="35"/>
      <c r="G26" s="35"/>
      <c r="H26" s="35" t="s">
        <v>64</v>
      </c>
      <c r="I26" s="35"/>
      <c r="J26" s="34" t="s">
        <v>73</v>
      </c>
      <c r="K26" s="36">
        <v>13.06</v>
      </c>
      <c r="L26" s="30">
        <f t="shared" si="7"/>
        <v>7</v>
      </c>
      <c r="M26" s="37" t="str">
        <f t="shared" si="4"/>
        <v>Chester Valley</v>
      </c>
      <c r="N26" s="31" t="str">
        <f t="shared" si="8"/>
        <v>CV-D27-BB12</v>
      </c>
      <c r="O26" s="30">
        <f t="shared" si="5"/>
        <v>0</v>
      </c>
      <c r="P26" s="30">
        <f t="shared" si="6"/>
        <v>0</v>
      </c>
      <c r="Q26" s="31" t="str">
        <f t="shared" si="9"/>
        <v>CV-Monument Park</v>
      </c>
    </row>
    <row r="27" spans="1:18" x14ac:dyDescent="0.25">
      <c r="B27" s="30">
        <f t="shared" si="10"/>
        <v>3</v>
      </c>
      <c r="C27" s="34" t="s">
        <v>55</v>
      </c>
      <c r="D27" s="34"/>
      <c r="E27" s="47"/>
      <c r="F27" s="35"/>
      <c r="G27" s="35"/>
      <c r="H27" s="35" t="s">
        <v>65</v>
      </c>
      <c r="I27" s="35"/>
      <c r="J27" s="34" t="s">
        <v>74</v>
      </c>
      <c r="K27" s="36">
        <v>14.04</v>
      </c>
      <c r="L27" s="30">
        <f t="shared" si="7"/>
        <v>8</v>
      </c>
      <c r="M27" s="37" t="str">
        <f t="shared" si="4"/>
        <v>Coventry</v>
      </c>
      <c r="N27" s="31" t="str">
        <f t="shared" si="8"/>
        <v>COV-D27-BB12</v>
      </c>
      <c r="O27" s="30">
        <f t="shared" si="5"/>
        <v>0</v>
      </c>
      <c r="P27" s="30">
        <f t="shared" si="6"/>
        <v>0</v>
      </c>
      <c r="Q27" s="31" t="str">
        <f t="shared" si="9"/>
        <v>COV-Wampler Complex</v>
      </c>
    </row>
    <row r="28" spans="1:18" x14ac:dyDescent="0.25">
      <c r="B28" s="30">
        <f t="shared" si="10"/>
        <v>4</v>
      </c>
      <c r="C28" s="34" t="s">
        <v>56</v>
      </c>
      <c r="D28" s="34"/>
      <c r="E28" s="34"/>
      <c r="F28" s="35"/>
      <c r="G28" s="35"/>
      <c r="H28" s="35" t="s">
        <v>66</v>
      </c>
      <c r="I28" s="35"/>
      <c r="J28" s="34" t="s">
        <v>75</v>
      </c>
      <c r="K28" s="36">
        <v>11.1</v>
      </c>
      <c r="L28" s="30">
        <f t="shared" si="7"/>
        <v>4</v>
      </c>
      <c r="M28" s="37" t="str">
        <f t="shared" si="4"/>
        <v>Devon/Strafford</v>
      </c>
      <c r="N28" s="31" t="str">
        <f t="shared" si="8"/>
        <v>DS-D27-BB12</v>
      </c>
      <c r="O28" s="30">
        <f t="shared" si="5"/>
        <v>0</v>
      </c>
      <c r="P28" s="30">
        <f t="shared" si="6"/>
        <v>0</v>
      </c>
      <c r="Q28" s="31" t="str">
        <f t="shared" si="9"/>
        <v>D/S-Clarke Field</v>
      </c>
    </row>
    <row r="29" spans="1:18" x14ac:dyDescent="0.25">
      <c r="B29" s="30">
        <f t="shared" si="10"/>
        <v>5</v>
      </c>
      <c r="C29" s="34" t="s">
        <v>57</v>
      </c>
      <c r="D29" s="34"/>
      <c r="E29" s="47"/>
      <c r="F29" s="35"/>
      <c r="G29" s="35"/>
      <c r="H29" s="35" t="s">
        <v>57</v>
      </c>
      <c r="I29" s="35"/>
      <c r="J29" s="34" t="s">
        <v>92</v>
      </c>
      <c r="K29" s="36">
        <v>15.07</v>
      </c>
      <c r="L29" s="30">
        <f t="shared" si="7"/>
        <v>10</v>
      </c>
      <c r="M29" s="37" t="str">
        <f t="shared" si="4"/>
        <v>GVE</v>
      </c>
      <c r="N29" s="31" t="str">
        <f t="shared" si="8"/>
        <v>GVE-D27-BB12</v>
      </c>
      <c r="O29" s="30">
        <f t="shared" si="5"/>
        <v>0</v>
      </c>
      <c r="P29" s="30">
        <f t="shared" si="6"/>
        <v>0</v>
      </c>
      <c r="Q29" s="31" t="str">
        <f t="shared" si="9"/>
        <v>GV-King Road</v>
      </c>
    </row>
    <row r="30" spans="1:18" x14ac:dyDescent="0.25">
      <c r="B30" s="30">
        <f t="shared" si="10"/>
        <v>6</v>
      </c>
      <c r="C30" s="34" t="s">
        <v>58</v>
      </c>
      <c r="D30" s="34"/>
      <c r="E30" s="47"/>
      <c r="F30" s="35"/>
      <c r="G30" s="35"/>
      <c r="H30" s="35" t="s">
        <v>67</v>
      </c>
      <c r="I30" s="35"/>
      <c r="J30" s="34" t="s">
        <v>58</v>
      </c>
      <c r="K30" s="36">
        <v>9.09</v>
      </c>
      <c r="L30" s="30">
        <f t="shared" si="7"/>
        <v>2</v>
      </c>
      <c r="M30" s="37" t="str">
        <f t="shared" si="4"/>
        <v>Lower Merion</v>
      </c>
      <c r="N30" s="31" t="str">
        <f t="shared" si="8"/>
        <v>LM-D27-BB12</v>
      </c>
      <c r="O30" s="30">
        <f t="shared" si="5"/>
        <v>0</v>
      </c>
      <c r="P30" s="30">
        <f t="shared" si="6"/>
        <v>0</v>
      </c>
      <c r="Q30" s="31" t="str">
        <f t="shared" si="9"/>
        <v>Lower Merion</v>
      </c>
    </row>
    <row r="31" spans="1:18" x14ac:dyDescent="0.25">
      <c r="B31" s="30">
        <f t="shared" si="10"/>
        <v>7</v>
      </c>
      <c r="C31" s="34" t="s">
        <v>59</v>
      </c>
      <c r="D31" s="34"/>
      <c r="E31" s="34"/>
      <c r="F31" s="35"/>
      <c r="G31" s="35"/>
      <c r="H31" s="35" t="s">
        <v>68</v>
      </c>
      <c r="I31" s="35"/>
      <c r="J31" s="34" t="s">
        <v>76</v>
      </c>
      <c r="K31" s="36">
        <v>10.07</v>
      </c>
      <c r="L31" s="30">
        <f t="shared" si="7"/>
        <v>3</v>
      </c>
      <c r="M31" s="37" t="str">
        <f t="shared" si="4"/>
        <v>Lower Perk</v>
      </c>
      <c r="N31" s="31" t="str">
        <f t="shared" si="8"/>
        <v>LP-D27-BB12</v>
      </c>
      <c r="O31" s="30">
        <f t="shared" si="5"/>
        <v>0</v>
      </c>
      <c r="P31" s="30">
        <f t="shared" si="6"/>
        <v>0</v>
      </c>
      <c r="Q31" s="31" t="str">
        <f t="shared" si="9"/>
        <v>LP-Palmer Park</v>
      </c>
    </row>
    <row r="32" spans="1:18" x14ac:dyDescent="0.25">
      <c r="B32" s="30">
        <f t="shared" si="10"/>
        <v>8</v>
      </c>
      <c r="C32" s="34" t="s">
        <v>60</v>
      </c>
      <c r="D32" s="34"/>
      <c r="E32" s="47"/>
      <c r="F32" s="35"/>
      <c r="G32" s="35"/>
      <c r="H32" s="35" t="s">
        <v>69</v>
      </c>
      <c r="I32" s="35"/>
      <c r="J32" s="34" t="s">
        <v>77</v>
      </c>
      <c r="K32" s="36">
        <v>7.07</v>
      </c>
      <c r="L32" s="30">
        <f t="shared" si="7"/>
        <v>1</v>
      </c>
      <c r="M32" s="37" t="str">
        <f t="shared" si="4"/>
        <v>Pottsgrove-Pottstown</v>
      </c>
      <c r="N32" s="31" t="str">
        <f t="shared" si="8"/>
        <v>PGP-D27-BB12</v>
      </c>
      <c r="O32" s="30">
        <f t="shared" si="5"/>
        <v>0</v>
      </c>
      <c r="P32" s="30">
        <f t="shared" si="6"/>
        <v>0</v>
      </c>
      <c r="Q32" s="31" t="str">
        <f t="shared" si="9"/>
        <v>PGP-Novak Field</v>
      </c>
    </row>
    <row r="33" spans="2:17" x14ac:dyDescent="0.25">
      <c r="B33" s="30">
        <f t="shared" si="10"/>
        <v>9</v>
      </c>
      <c r="C33" s="34" t="s">
        <v>61</v>
      </c>
      <c r="D33" s="34"/>
      <c r="E33" s="47"/>
      <c r="F33" s="35"/>
      <c r="G33" s="35"/>
      <c r="H33" s="35" t="s">
        <v>70</v>
      </c>
      <c r="I33" s="35"/>
      <c r="J33" s="34" t="s">
        <v>78</v>
      </c>
      <c r="K33" s="36">
        <v>12.07</v>
      </c>
      <c r="L33" s="30">
        <f t="shared" si="7"/>
        <v>5</v>
      </c>
      <c r="M33" s="37" t="str">
        <f t="shared" si="4"/>
        <v>Radnor/Wayne</v>
      </c>
      <c r="N33" s="31" t="str">
        <f t="shared" si="8"/>
        <v>RW-D27-BB12</v>
      </c>
      <c r="O33" s="30">
        <f t="shared" si="5"/>
        <v>0</v>
      </c>
      <c r="P33" s="30">
        <f t="shared" si="6"/>
        <v>0</v>
      </c>
      <c r="Q33" s="31" t="str">
        <f t="shared" si="9"/>
        <v>R/W-Encke Park</v>
      </c>
    </row>
    <row r="34" spans="2:17" x14ac:dyDescent="0.25">
      <c r="B34" s="30">
        <f t="shared" si="10"/>
        <v>10</v>
      </c>
      <c r="C34" s="34" t="s">
        <v>62</v>
      </c>
      <c r="D34" s="34"/>
      <c r="E34" s="47"/>
      <c r="F34" s="35"/>
      <c r="G34" s="35"/>
      <c r="H34" s="35" t="s">
        <v>71</v>
      </c>
      <c r="I34" s="35"/>
      <c r="J34" s="34" t="s">
        <v>79</v>
      </c>
      <c r="K34" s="36">
        <v>15.06</v>
      </c>
      <c r="L34" s="30">
        <f t="shared" si="7"/>
        <v>9</v>
      </c>
      <c r="M34" s="37" t="str">
        <f t="shared" si="4"/>
        <v>Upper Providence</v>
      </c>
      <c r="N34" s="31" t="str">
        <f t="shared" si="8"/>
        <v>UP-D27-BB12</v>
      </c>
      <c r="O34" s="30">
        <f t="shared" si="5"/>
        <v>0</v>
      </c>
      <c r="P34" s="30">
        <f t="shared" si="6"/>
        <v>0</v>
      </c>
      <c r="Q34" s="31" t="str">
        <f t="shared" si="9"/>
        <v>UP-MacFarlan Park</v>
      </c>
    </row>
    <row r="35" spans="2:17" x14ac:dyDescent="0.25">
      <c r="B35" s="12"/>
      <c r="C35" s="16"/>
      <c r="D35" s="16"/>
      <c r="E35" s="16"/>
      <c r="F35" s="12"/>
      <c r="G35" s="12"/>
      <c r="H35" s="12"/>
      <c r="I35" s="12"/>
      <c r="J35" s="16"/>
      <c r="K35" s="25"/>
      <c r="L35" s="12"/>
      <c r="M35" s="18"/>
      <c r="N35" s="18"/>
      <c r="O35" s="6"/>
      <c r="P35" s="6"/>
      <c r="Q35" s="18"/>
    </row>
    <row r="36" spans="2:17" x14ac:dyDescent="0.25">
      <c r="B36" s="12"/>
      <c r="C36" s="16"/>
      <c r="D36" s="16"/>
      <c r="E36" s="16"/>
      <c r="F36" s="12"/>
      <c r="G36" s="12"/>
      <c r="H36" s="12"/>
      <c r="I36" s="12"/>
      <c r="J36" s="16"/>
      <c r="K36" s="25"/>
      <c r="L36" s="12"/>
      <c r="M36" s="18"/>
      <c r="N36" s="18"/>
      <c r="O36" s="6"/>
      <c r="P36" s="6"/>
      <c r="Q36" s="18"/>
    </row>
    <row r="37" spans="2:17" x14ac:dyDescent="0.25">
      <c r="B37" s="12"/>
      <c r="C37" s="16"/>
      <c r="D37" s="16"/>
      <c r="E37" s="16"/>
      <c r="F37" s="12"/>
      <c r="G37" s="12"/>
      <c r="H37" s="12"/>
      <c r="I37" s="12"/>
      <c r="J37" s="16"/>
      <c r="K37" s="25"/>
      <c r="L37" s="12"/>
      <c r="M37" s="18"/>
      <c r="N37" s="18"/>
      <c r="O37" s="6"/>
      <c r="P37" s="6"/>
      <c r="Q37" s="18"/>
    </row>
    <row r="38" spans="2:17" x14ac:dyDescent="0.25">
      <c r="B38" s="12"/>
      <c r="C38" s="16"/>
      <c r="D38" s="16"/>
      <c r="E38" s="16"/>
      <c r="F38" s="12"/>
      <c r="G38" s="12"/>
      <c r="H38" s="12"/>
      <c r="I38" s="12"/>
      <c r="J38" s="16"/>
      <c r="K38" s="25"/>
      <c r="L38" s="19"/>
      <c r="M38" s="18"/>
      <c r="N38" s="18"/>
      <c r="O38" s="6"/>
      <c r="P38" s="6"/>
      <c r="Q38" s="18"/>
    </row>
    <row r="39" spans="2:17" x14ac:dyDescent="0.25">
      <c r="D39" s="23"/>
      <c r="F39" s="23"/>
      <c r="H39" s="23"/>
      <c r="I39" s="23"/>
      <c r="J39" s="23"/>
      <c r="L39" s="23"/>
      <c r="M39" s="23"/>
      <c r="N39" s="23"/>
      <c r="O39" s="23"/>
    </row>
    <row r="40" spans="2:17" x14ac:dyDescent="0.25">
      <c r="C40" s="26" t="s">
        <v>91</v>
      </c>
      <c r="D40" s="48" t="s">
        <v>87</v>
      </c>
      <c r="E40" s="32"/>
      <c r="F40" s="32"/>
      <c r="H40" s="23"/>
      <c r="I40" s="23"/>
      <c r="J40" s="23"/>
      <c r="L40" s="23"/>
      <c r="M40" s="23"/>
      <c r="N40" s="23"/>
      <c r="O40" s="23"/>
    </row>
    <row r="41" spans="2:17" x14ac:dyDescent="0.25">
      <c r="B41" s="3"/>
      <c r="C41" s="26" t="s">
        <v>90</v>
      </c>
      <c r="D41" s="48" t="s">
        <v>83</v>
      </c>
      <c r="E41" s="3"/>
      <c r="F41" s="23"/>
      <c r="G41" s="3"/>
      <c r="J41" s="23"/>
      <c r="M41" s="23"/>
      <c r="N41" s="3"/>
      <c r="O41" s="3"/>
    </row>
  </sheetData>
  <mergeCells count="1">
    <mergeCell ref="G1:K1"/>
  </mergeCells>
  <conditionalFormatting sqref="N2:N20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BRACKET</vt:lpstr>
      <vt:lpstr>D27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Julia</cp:lastModifiedBy>
  <cp:lastPrinted>2025-06-02T06:12:06Z</cp:lastPrinted>
  <dcterms:created xsi:type="dcterms:W3CDTF">2025-05-16T06:15:02Z</dcterms:created>
  <dcterms:modified xsi:type="dcterms:W3CDTF">2025-07-07T08:01:09Z</dcterms:modified>
</cp:coreProperties>
</file>